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rgareta\Desktop\2024\"/>
    </mc:Choice>
  </mc:AlternateContent>
  <xr:revisionPtr revIDLastSave="0" documentId="13_ncr:1_{447444D7-45A3-4EDB-B0DE-75B73E78C0D1}" xr6:coauthVersionLast="47" xr6:coauthVersionMax="47" xr10:uidLastSave="{00000000-0000-0000-0000-000000000000}"/>
  <bookViews>
    <workbookView xWindow="-110" yWindow="-110" windowWidth="25820" windowHeight="15500" xr2:uid="{85C4EED5-C623-4FC5-A5F5-7176E02AE3C8}"/>
  </bookViews>
  <sheets>
    <sheet name="Financijski plan HGS-a 2024." sheetId="3" r:id="rId1"/>
    <sheet name="Plan prihoda i rashoda" sheetId="2" r:id="rId2"/>
    <sheet name="Programske skupine i programi" sheetId="1" r:id="rId3"/>
    <sheet name="Obrazloženje financijskog plana" sheetId="5" r:id="rId4"/>
  </sheets>
  <definedNames>
    <definedName name="_xlnm.Print_Area" localSheetId="0">'Financijski plan HGS-a 2024.'!$A$1:$AC$44</definedName>
    <definedName name="_xlnm.Print_Area" localSheetId="3">'Obrazloženje financijskog plana'!$A$1:$Y$103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2" l="1"/>
  <c r="E48" i="2"/>
  <c r="E47" i="2"/>
  <c r="E46" i="2"/>
  <c r="E45" i="2"/>
  <c r="S115" i="1"/>
  <c r="S116" i="1"/>
  <c r="S117" i="1"/>
  <c r="X152" i="1" l="1"/>
  <c r="W152" i="1"/>
  <c r="U152" i="1"/>
  <c r="P152" i="1"/>
  <c r="L152" i="1"/>
  <c r="G152" i="1"/>
  <c r="AA151" i="1"/>
  <c r="Z151" i="1" s="1"/>
  <c r="Z152" i="1" s="1"/>
  <c r="AA157" i="1"/>
  <c r="F42" i="2"/>
  <c r="F43" i="2"/>
  <c r="AA155" i="1"/>
  <c r="E11" i="2"/>
  <c r="AA152" i="1" l="1"/>
  <c r="C48" i="2"/>
  <c r="C47" i="2"/>
  <c r="C46" i="2"/>
  <c r="F25" i="2"/>
  <c r="F26" i="2"/>
  <c r="F27" i="2"/>
  <c r="F28" i="2"/>
  <c r="F29" i="2"/>
  <c r="F30" i="2"/>
  <c r="F31" i="2"/>
  <c r="F32" i="2"/>
  <c r="F33" i="2"/>
  <c r="F65" i="2" l="1"/>
  <c r="F67" i="2" s="1"/>
  <c r="F55" i="2"/>
  <c r="F54" i="2"/>
  <c r="F53" i="2"/>
  <c r="F52" i="2"/>
  <c r="F51" i="2"/>
  <c r="F50" i="2"/>
  <c r="F46" i="2"/>
  <c r="F45" i="2"/>
  <c r="E44" i="2"/>
  <c r="E56" i="2" s="1"/>
  <c r="D44" i="2"/>
  <c r="C44" i="2"/>
  <c r="C56" i="2" s="1"/>
  <c r="C24" i="2"/>
  <c r="F19" i="2"/>
  <c r="F18" i="2" s="1"/>
  <c r="D34" i="2"/>
  <c r="F15" i="2"/>
  <c r="E15" i="2"/>
  <c r="F10" i="2"/>
  <c r="E10" i="2"/>
  <c r="F7" i="2"/>
  <c r="F6" i="2" s="1"/>
  <c r="E7" i="2"/>
  <c r="E6" i="2" s="1"/>
  <c r="E34" i="2" s="1"/>
  <c r="C23" i="2" l="1"/>
  <c r="F24" i="2"/>
  <c r="F56" i="2"/>
  <c r="F44" i="2"/>
  <c r="F59" i="2" l="1"/>
  <c r="C34" i="2"/>
  <c r="F34" i="2" s="1"/>
  <c r="C36" i="2" s="1"/>
  <c r="F23" i="2"/>
  <c r="AA209" i="1" l="1"/>
  <c r="X209" i="1"/>
  <c r="X208" i="1"/>
  <c r="AA208" i="1" s="1"/>
  <c r="X207" i="1"/>
  <c r="AA207" i="1" s="1"/>
  <c r="X206" i="1"/>
  <c r="AA206" i="1" s="1"/>
  <c r="X205" i="1"/>
  <c r="AA205" i="1" s="1"/>
  <c r="X204" i="1"/>
  <c r="AA204" i="1" s="1"/>
  <c r="X201" i="1"/>
  <c r="AA201" i="1" s="1"/>
  <c r="AA202" i="1"/>
  <c r="AA200" i="1"/>
  <c r="AA199" i="1"/>
  <c r="AA198" i="1"/>
  <c r="X195" i="1"/>
  <c r="AA195" i="1" s="1"/>
  <c r="X194" i="1"/>
  <c r="AA194" i="1" s="1"/>
  <c r="X193" i="1"/>
  <c r="AA193" i="1" s="1"/>
  <c r="X192" i="1"/>
  <c r="AA196" i="1"/>
  <c r="AA189" i="1"/>
  <c r="AA188" i="1"/>
  <c r="AA187" i="1"/>
  <c r="AA186" i="1"/>
  <c r="AA185" i="1"/>
  <c r="X182" i="1"/>
  <c r="AA182" i="1" s="1"/>
  <c r="X181" i="1"/>
  <c r="AA181" i="1" s="1"/>
  <c r="X180" i="1"/>
  <c r="AA180" i="1" s="1"/>
  <c r="X179" i="1"/>
  <c r="AA179" i="1" s="1"/>
  <c r="X178" i="1"/>
  <c r="AA178" i="1" s="1"/>
  <c r="X177" i="1"/>
  <c r="AA183" i="1"/>
  <c r="X174" i="1"/>
  <c r="AA175" i="1"/>
  <c r="AA174" i="1" s="1"/>
  <c r="Y153" i="1"/>
  <c r="AA166" i="1"/>
  <c r="X197" i="1" l="1"/>
  <c r="AA197" i="1" s="1"/>
  <c r="X203" i="1"/>
  <c r="AA203" i="1" s="1"/>
  <c r="AA184" i="1"/>
  <c r="X191" i="1"/>
  <c r="X190" i="1" s="1"/>
  <c r="AA190" i="1" s="1"/>
  <c r="AA192" i="1"/>
  <c r="AA191" i="1"/>
  <c r="X184" i="1"/>
  <c r="X176" i="1"/>
  <c r="AA177" i="1"/>
  <c r="AA168" i="1"/>
  <c r="AA167" i="1" s="1"/>
  <c r="Y167" i="1"/>
  <c r="Z167" i="1"/>
  <c r="X167" i="1"/>
  <c r="Z158" i="1"/>
  <c r="X158" i="1"/>
  <c r="AA159" i="1"/>
  <c r="AA160" i="1"/>
  <c r="AA161" i="1"/>
  <c r="AA162" i="1"/>
  <c r="AA163" i="1"/>
  <c r="AA164" i="1"/>
  <c r="AA165" i="1"/>
  <c r="Y154" i="1"/>
  <c r="Z154" i="1"/>
  <c r="AA154" i="1"/>
  <c r="X154" i="1"/>
  <c r="AA130" i="1"/>
  <c r="Z130" i="1" s="1"/>
  <c r="AA129" i="1"/>
  <c r="Z129" i="1" s="1"/>
  <c r="X131" i="1"/>
  <c r="W131" i="1"/>
  <c r="S129" i="1"/>
  <c r="S130" i="1"/>
  <c r="O130" i="1"/>
  <c r="K130" i="1"/>
  <c r="X148" i="1"/>
  <c r="W148" i="1"/>
  <c r="U148" i="1"/>
  <c r="P148" i="1"/>
  <c r="L148" i="1"/>
  <c r="G148" i="1"/>
  <c r="AA147" i="1"/>
  <c r="AA148" i="1" s="1"/>
  <c r="X144" i="1"/>
  <c r="W144" i="1"/>
  <c r="U144" i="1"/>
  <c r="P144" i="1"/>
  <c r="L144" i="1"/>
  <c r="G144" i="1"/>
  <c r="AA143" i="1"/>
  <c r="Z143" i="1" s="1"/>
  <c r="AA141" i="1"/>
  <c r="Z141" i="1" s="1"/>
  <c r="AA140" i="1"/>
  <c r="X137" i="1"/>
  <c r="W137" i="1"/>
  <c r="U137" i="1"/>
  <c r="L137" i="1"/>
  <c r="G137" i="1"/>
  <c r="AA135" i="1"/>
  <c r="Z135" i="1" s="1"/>
  <c r="AA136" i="1"/>
  <c r="Z136" i="1" s="1"/>
  <c r="AA134" i="1"/>
  <c r="Z134" i="1" s="1"/>
  <c r="Y126" i="1"/>
  <c r="Y131" i="1" s="1"/>
  <c r="X126" i="1"/>
  <c r="W126" i="1"/>
  <c r="U126" i="1"/>
  <c r="Y104" i="1"/>
  <c r="X104" i="1"/>
  <c r="U104" i="1"/>
  <c r="L104" i="1"/>
  <c r="W62" i="1"/>
  <c r="W85" i="1" s="1"/>
  <c r="W104" i="1" s="1"/>
  <c r="U62" i="1"/>
  <c r="L62" i="1"/>
  <c r="Y118" i="1"/>
  <c r="X118" i="1"/>
  <c r="W118" i="1"/>
  <c r="Y85" i="1"/>
  <c r="X85" i="1"/>
  <c r="X62" i="1"/>
  <c r="Y62" i="1"/>
  <c r="W34" i="1"/>
  <c r="Z131" i="1" l="1"/>
  <c r="AA144" i="1"/>
  <c r="AA176" i="1"/>
  <c r="X173" i="1"/>
  <c r="AA173" i="1" s="1"/>
  <c r="X153" i="1"/>
  <c r="X7" i="1" s="1"/>
  <c r="Z153" i="1"/>
  <c r="AA158" i="1"/>
  <c r="AA131" i="1"/>
  <c r="Z147" i="1"/>
  <c r="Z148" i="1" s="1"/>
  <c r="Z137" i="1"/>
  <c r="AA137" i="1"/>
  <c r="Z140" i="1"/>
  <c r="Z144" i="1" s="1"/>
  <c r="Y34" i="1"/>
  <c r="X34" i="1"/>
  <c r="AA153" i="1" l="1"/>
  <c r="K121" i="1"/>
  <c r="O121" i="1"/>
  <c r="K122" i="1"/>
  <c r="L122" i="1" s="1"/>
  <c r="O122" i="1" s="1"/>
  <c r="K123" i="1"/>
  <c r="L123" i="1" s="1"/>
  <c r="K124" i="1"/>
  <c r="L124" i="1" s="1"/>
  <c r="O124" i="1" s="1"/>
  <c r="K125" i="1"/>
  <c r="O125" i="1"/>
  <c r="S125" i="1"/>
  <c r="S124" i="1"/>
  <c r="S123" i="1"/>
  <c r="S122" i="1"/>
  <c r="S121" i="1"/>
  <c r="K117" i="1"/>
  <c r="T117" i="1" s="1"/>
  <c r="N116" i="1"/>
  <c r="K116" i="1"/>
  <c r="N115" i="1"/>
  <c r="K115" i="1"/>
  <c r="S114" i="1"/>
  <c r="N114" i="1"/>
  <c r="K114" i="1"/>
  <c r="V114" i="1" s="1"/>
  <c r="S113" i="1"/>
  <c r="N113" i="1"/>
  <c r="K113" i="1"/>
  <c r="V113" i="1" s="1"/>
  <c r="S112" i="1"/>
  <c r="N112" i="1"/>
  <c r="K112" i="1"/>
  <c r="V112" i="1" s="1"/>
  <c r="S111" i="1"/>
  <c r="N111" i="1"/>
  <c r="K111" i="1"/>
  <c r="V111" i="1" s="1"/>
  <c r="S110" i="1"/>
  <c r="N110" i="1"/>
  <c r="K110" i="1"/>
  <c r="V110" i="1" s="1"/>
  <c r="S109" i="1"/>
  <c r="N109" i="1"/>
  <c r="K109" i="1"/>
  <c r="S108" i="1"/>
  <c r="N108" i="1"/>
  <c r="K108" i="1"/>
  <c r="S107" i="1"/>
  <c r="N107" i="1"/>
  <c r="K107" i="1"/>
  <c r="V107" i="1" s="1"/>
  <c r="S89" i="1"/>
  <c r="T89" i="1" s="1"/>
  <c r="S90" i="1"/>
  <c r="T90" i="1" s="1"/>
  <c r="S91" i="1"/>
  <c r="T91" i="1" s="1"/>
  <c r="S92" i="1"/>
  <c r="T92" i="1" s="1"/>
  <c r="S93" i="1"/>
  <c r="T93" i="1" s="1"/>
  <c r="AA93" i="1" s="1"/>
  <c r="Z93" i="1" s="1"/>
  <c r="S94" i="1"/>
  <c r="T94" i="1" s="1"/>
  <c r="AA94" i="1" s="1"/>
  <c r="Z94" i="1" s="1"/>
  <c r="S95" i="1"/>
  <c r="T95" i="1" s="1"/>
  <c r="AA95" i="1" s="1"/>
  <c r="Z95" i="1" s="1"/>
  <c r="S96" i="1"/>
  <c r="T96" i="1" s="1"/>
  <c r="S97" i="1"/>
  <c r="T97" i="1" s="1"/>
  <c r="AA97" i="1" s="1"/>
  <c r="Z97" i="1" s="1"/>
  <c r="S98" i="1"/>
  <c r="T98" i="1" s="1"/>
  <c r="S99" i="1"/>
  <c r="T99" i="1" s="1"/>
  <c r="S100" i="1"/>
  <c r="T100" i="1" s="1"/>
  <c r="S101" i="1"/>
  <c r="T101" i="1" s="1"/>
  <c r="S102" i="1"/>
  <c r="T102" i="1" s="1"/>
  <c r="S103" i="1"/>
  <c r="T103" i="1" s="1"/>
  <c r="S88" i="1"/>
  <c r="T88" i="1" s="1"/>
  <c r="S84" i="1"/>
  <c r="N84" i="1"/>
  <c r="K84" i="1"/>
  <c r="V84" i="1" s="1"/>
  <c r="S83" i="1"/>
  <c r="N83" i="1"/>
  <c r="K83" i="1"/>
  <c r="V83" i="1" s="1"/>
  <c r="S82" i="1"/>
  <c r="N82" i="1"/>
  <c r="K82" i="1"/>
  <c r="V82" i="1" s="1"/>
  <c r="S81" i="1"/>
  <c r="N81" i="1"/>
  <c r="K81" i="1"/>
  <c r="V81" i="1" s="1"/>
  <c r="S80" i="1"/>
  <c r="N80" i="1"/>
  <c r="K80" i="1"/>
  <c r="V80" i="1" s="1"/>
  <c r="S79" i="1"/>
  <c r="N79" i="1"/>
  <c r="K79" i="1"/>
  <c r="V79" i="1" s="1"/>
  <c r="S78" i="1"/>
  <c r="N78" i="1"/>
  <c r="K78" i="1"/>
  <c r="V78" i="1" s="1"/>
  <c r="S77" i="1"/>
  <c r="N77" i="1"/>
  <c r="K77" i="1"/>
  <c r="S76" i="1"/>
  <c r="N76" i="1"/>
  <c r="K76" i="1"/>
  <c r="S75" i="1"/>
  <c r="N75" i="1"/>
  <c r="K75" i="1"/>
  <c r="V75" i="1" s="1"/>
  <c r="S74" i="1"/>
  <c r="N74" i="1"/>
  <c r="K74" i="1"/>
  <c r="S73" i="1"/>
  <c r="N73" i="1"/>
  <c r="K73" i="1"/>
  <c r="S72" i="1"/>
  <c r="N72" i="1"/>
  <c r="K72" i="1"/>
  <c r="V72" i="1" s="1"/>
  <c r="S71" i="1"/>
  <c r="N71" i="1"/>
  <c r="K71" i="1"/>
  <c r="V71" i="1" s="1"/>
  <c r="S70" i="1"/>
  <c r="N70" i="1"/>
  <c r="K70" i="1"/>
  <c r="V70" i="1" s="1"/>
  <c r="S69" i="1"/>
  <c r="N69" i="1"/>
  <c r="K69" i="1"/>
  <c r="S68" i="1"/>
  <c r="N68" i="1"/>
  <c r="K68" i="1"/>
  <c r="V68" i="1" s="1"/>
  <c r="S67" i="1"/>
  <c r="N67" i="1"/>
  <c r="K67" i="1"/>
  <c r="V67" i="1" s="1"/>
  <c r="S66" i="1"/>
  <c r="N66" i="1"/>
  <c r="K66" i="1"/>
  <c r="V66" i="1" s="1"/>
  <c r="S65" i="1"/>
  <c r="N65" i="1"/>
  <c r="K65" i="1"/>
  <c r="S61" i="1"/>
  <c r="T61" i="1" s="1"/>
  <c r="S60" i="1"/>
  <c r="T60" i="1" s="1"/>
  <c r="S59" i="1"/>
  <c r="T59" i="1" s="1"/>
  <c r="S58" i="1"/>
  <c r="T58" i="1" s="1"/>
  <c r="S57" i="1"/>
  <c r="T57" i="1" s="1"/>
  <c r="S56" i="1"/>
  <c r="T56" i="1" s="1"/>
  <c r="S55" i="1"/>
  <c r="T55" i="1" s="1"/>
  <c r="AA55" i="1" s="1"/>
  <c r="Z55" i="1" s="1"/>
  <c r="S54" i="1"/>
  <c r="T54" i="1" s="1"/>
  <c r="AA54" i="1" s="1"/>
  <c r="Z54" i="1" s="1"/>
  <c r="S53" i="1"/>
  <c r="T53" i="1" s="1"/>
  <c r="AA53" i="1" s="1"/>
  <c r="Z53" i="1" s="1"/>
  <c r="S52" i="1"/>
  <c r="T52" i="1" s="1"/>
  <c r="S51" i="1"/>
  <c r="T51" i="1" s="1"/>
  <c r="S50" i="1"/>
  <c r="T50" i="1" s="1"/>
  <c r="AA50" i="1" s="1"/>
  <c r="Z50" i="1" s="1"/>
  <c r="S49" i="1"/>
  <c r="T49" i="1" s="1"/>
  <c r="S48" i="1"/>
  <c r="T48" i="1" s="1"/>
  <c r="S47" i="1"/>
  <c r="T47" i="1" s="1"/>
  <c r="S46" i="1"/>
  <c r="T46" i="1" s="1"/>
  <c r="S45" i="1"/>
  <c r="T45" i="1" s="1"/>
  <c r="S44" i="1"/>
  <c r="T44" i="1" s="1"/>
  <c r="S43" i="1"/>
  <c r="T43" i="1" s="1"/>
  <c r="AA43" i="1" s="1"/>
  <c r="Z43" i="1" s="1"/>
  <c r="S42" i="1"/>
  <c r="T42" i="1" s="1"/>
  <c r="AA42" i="1" s="1"/>
  <c r="Z42" i="1" s="1"/>
  <c r="S41" i="1"/>
  <c r="T41" i="1" s="1"/>
  <c r="S40" i="1"/>
  <c r="T40" i="1" s="1"/>
  <c r="S39" i="1"/>
  <c r="T39" i="1" s="1"/>
  <c r="S38" i="1"/>
  <c r="T38" i="1" s="1"/>
  <c r="AA38" i="1" s="1"/>
  <c r="Z38" i="1" s="1"/>
  <c r="S37" i="1"/>
  <c r="T37" i="1" s="1"/>
  <c r="S33" i="1"/>
  <c r="N33" i="1"/>
  <c r="K33" i="1"/>
  <c r="S32" i="1"/>
  <c r="N32" i="1"/>
  <c r="K32" i="1"/>
  <c r="S31" i="1"/>
  <c r="N31" i="1"/>
  <c r="K31" i="1"/>
  <c r="V31" i="1" s="1"/>
  <c r="S30" i="1"/>
  <c r="N30" i="1"/>
  <c r="K30" i="1"/>
  <c r="V30" i="1" s="1"/>
  <c r="S29" i="1"/>
  <c r="N29" i="1"/>
  <c r="K29" i="1"/>
  <c r="V29" i="1" s="1"/>
  <c r="S28" i="1"/>
  <c r="N28" i="1"/>
  <c r="K28" i="1"/>
  <c r="S27" i="1"/>
  <c r="N27" i="1"/>
  <c r="K27" i="1"/>
  <c r="V27" i="1" s="1"/>
  <c r="S26" i="1"/>
  <c r="N26" i="1"/>
  <c r="K26" i="1"/>
  <c r="V26" i="1" s="1"/>
  <c r="S25" i="1"/>
  <c r="N25" i="1"/>
  <c r="K25" i="1"/>
  <c r="S24" i="1"/>
  <c r="N24" i="1"/>
  <c r="K24" i="1"/>
  <c r="S23" i="1"/>
  <c r="N23" i="1"/>
  <c r="K23" i="1"/>
  <c r="V23" i="1" s="1"/>
  <c r="S22" i="1"/>
  <c r="N22" i="1"/>
  <c r="K22" i="1"/>
  <c r="V22" i="1" s="1"/>
  <c r="S21" i="1"/>
  <c r="N21" i="1"/>
  <c r="K21" i="1"/>
  <c r="S20" i="1"/>
  <c r="N20" i="1"/>
  <c r="K20" i="1"/>
  <c r="S19" i="1"/>
  <c r="N19" i="1"/>
  <c r="K19" i="1"/>
  <c r="S18" i="1"/>
  <c r="N18" i="1"/>
  <c r="K18" i="1"/>
  <c r="S17" i="1"/>
  <c r="N17" i="1"/>
  <c r="K17" i="1"/>
  <c r="V17" i="1" s="1"/>
  <c r="S16" i="1"/>
  <c r="K16" i="1"/>
  <c r="V16" i="1" s="1"/>
  <c r="S15" i="1"/>
  <c r="N15" i="1"/>
  <c r="K15" i="1"/>
  <c r="V15" i="1" s="1"/>
  <c r="S14" i="1"/>
  <c r="N14" i="1"/>
  <c r="K14" i="1"/>
  <c r="S13" i="1"/>
  <c r="N13" i="1"/>
  <c r="K13" i="1"/>
  <c r="V13" i="1" s="1"/>
  <c r="S12" i="1"/>
  <c r="N12" i="1"/>
  <c r="K12" i="1"/>
  <c r="S11" i="1"/>
  <c r="N11" i="1"/>
  <c r="K11" i="1"/>
  <c r="S10" i="1"/>
  <c r="N10" i="1"/>
  <c r="K10" i="1"/>
  <c r="V10" i="1" s="1"/>
  <c r="V115" i="1" l="1"/>
  <c r="T115" i="1"/>
  <c r="O116" i="1"/>
  <c r="T116" i="1"/>
  <c r="T62" i="1"/>
  <c r="AA88" i="1"/>
  <c r="Z88" i="1" s="1"/>
  <c r="T104" i="1"/>
  <c r="V117" i="1"/>
  <c r="O117" i="1"/>
  <c r="O109" i="1"/>
  <c r="O123" i="1"/>
  <c r="L126" i="1" s="1"/>
  <c r="AA90" i="1"/>
  <c r="Z90" i="1" s="1"/>
  <c r="AA40" i="1"/>
  <c r="Z40" i="1" s="1"/>
  <c r="AA92" i="1"/>
  <c r="Z92" i="1" s="1"/>
  <c r="AA51" i="1"/>
  <c r="Z51" i="1" s="1"/>
  <c r="AA91" i="1"/>
  <c r="Z91" i="1" s="1"/>
  <c r="AA61" i="1"/>
  <c r="Z61" i="1" s="1"/>
  <c r="AA89" i="1"/>
  <c r="Z89" i="1" s="1"/>
  <c r="AA60" i="1"/>
  <c r="Z60" i="1" s="1"/>
  <c r="AA48" i="1"/>
  <c r="Z48" i="1" s="1"/>
  <c r="AA100" i="1"/>
  <c r="Z100" i="1" s="1"/>
  <c r="AA103" i="1"/>
  <c r="Z103" i="1" s="1"/>
  <c r="AA37" i="1"/>
  <c r="AA102" i="1"/>
  <c r="Z102" i="1" s="1"/>
  <c r="AA49" i="1"/>
  <c r="Z49" i="1" s="1"/>
  <c r="AA101" i="1"/>
  <c r="Z101" i="1" s="1"/>
  <c r="AA59" i="1"/>
  <c r="Z59" i="1" s="1"/>
  <c r="AA47" i="1"/>
  <c r="Z47" i="1" s="1"/>
  <c r="AA99" i="1"/>
  <c r="Z99" i="1" s="1"/>
  <c r="AA52" i="1"/>
  <c r="Z52" i="1" s="1"/>
  <c r="AA39" i="1"/>
  <c r="Z39" i="1" s="1"/>
  <c r="AA58" i="1"/>
  <c r="Z58" i="1" s="1"/>
  <c r="AA46" i="1"/>
  <c r="Z46" i="1" s="1"/>
  <c r="AA98" i="1"/>
  <c r="Z98" i="1" s="1"/>
  <c r="AA41" i="1"/>
  <c r="Z41" i="1" s="1"/>
  <c r="AA57" i="1"/>
  <c r="Z57" i="1" s="1"/>
  <c r="AA45" i="1"/>
  <c r="Z45" i="1" s="1"/>
  <c r="AA56" i="1"/>
  <c r="Z56" i="1" s="1"/>
  <c r="AA44" i="1"/>
  <c r="Z44" i="1" s="1"/>
  <c r="AA96" i="1"/>
  <c r="Z96" i="1" s="1"/>
  <c r="O19" i="1"/>
  <c r="T11" i="1"/>
  <c r="T74" i="1"/>
  <c r="O12" i="1"/>
  <c r="O76" i="1"/>
  <c r="O108" i="1"/>
  <c r="O113" i="1"/>
  <c r="T108" i="1"/>
  <c r="T113" i="1"/>
  <c r="O65" i="1"/>
  <c r="O69" i="1"/>
  <c r="V108" i="1"/>
  <c r="T124" i="1"/>
  <c r="AA124" i="1" s="1"/>
  <c r="Z124" i="1" s="1"/>
  <c r="T125" i="1"/>
  <c r="T121" i="1"/>
  <c r="T122" i="1"/>
  <c r="AA122" i="1" s="1"/>
  <c r="Z122" i="1" s="1"/>
  <c r="T123" i="1"/>
  <c r="AA123" i="1" s="1"/>
  <c r="Z123" i="1" s="1"/>
  <c r="O81" i="1"/>
  <c r="O71" i="1"/>
  <c r="T110" i="1"/>
  <c r="T68" i="1"/>
  <c r="T81" i="1"/>
  <c r="V74" i="1"/>
  <c r="T71" i="1"/>
  <c r="O110" i="1"/>
  <c r="O33" i="1"/>
  <c r="T73" i="1"/>
  <c r="O115" i="1"/>
  <c r="O107" i="1"/>
  <c r="O114" i="1"/>
  <c r="T109" i="1"/>
  <c r="V116" i="1"/>
  <c r="V109" i="1"/>
  <c r="T114" i="1"/>
  <c r="O112" i="1"/>
  <c r="T112" i="1"/>
  <c r="T111" i="1"/>
  <c r="T107" i="1"/>
  <c r="O111" i="1"/>
  <c r="T78" i="1"/>
  <c r="O66" i="1"/>
  <c r="T66" i="1"/>
  <c r="O82" i="1"/>
  <c r="V69" i="1"/>
  <c r="O70" i="1"/>
  <c r="V76" i="1"/>
  <c r="T69" i="1"/>
  <c r="T70" i="1"/>
  <c r="O77" i="1"/>
  <c r="T80" i="1"/>
  <c r="O83" i="1"/>
  <c r="O78" i="1"/>
  <c r="AA78" i="1" s="1"/>
  <c r="Z78" i="1" s="1"/>
  <c r="O75" i="1"/>
  <c r="T75" i="1"/>
  <c r="T82" i="1"/>
  <c r="T83" i="1"/>
  <c r="T76" i="1"/>
  <c r="O73" i="1"/>
  <c r="O68" i="1"/>
  <c r="O80" i="1"/>
  <c r="T65" i="1"/>
  <c r="O67" i="1"/>
  <c r="T77" i="1"/>
  <c r="O79" i="1"/>
  <c r="V73" i="1"/>
  <c r="O84" i="1"/>
  <c r="V65" i="1"/>
  <c r="T72" i="1"/>
  <c r="O74" i="1"/>
  <c r="V77" i="1"/>
  <c r="T84" i="1"/>
  <c r="O72" i="1"/>
  <c r="T67" i="1"/>
  <c r="T79" i="1"/>
  <c r="O20" i="1"/>
  <c r="O28" i="1"/>
  <c r="O32" i="1"/>
  <c r="T21" i="1"/>
  <c r="O25" i="1"/>
  <c r="T18" i="1"/>
  <c r="O27" i="1"/>
  <c r="T14" i="1"/>
  <c r="T27" i="1"/>
  <c r="V20" i="1"/>
  <c r="O13" i="1"/>
  <c r="T13" i="1"/>
  <c r="T30" i="1"/>
  <c r="T20" i="1"/>
  <c r="O22" i="1"/>
  <c r="V25" i="1"/>
  <c r="T15" i="1"/>
  <c r="V11" i="1"/>
  <c r="T25" i="1"/>
  <c r="T22" i="1"/>
  <c r="T32" i="1"/>
  <c r="V32" i="1"/>
  <c r="V18" i="1"/>
  <c r="O15" i="1"/>
  <c r="O24" i="1"/>
  <c r="O21" i="1"/>
  <c r="O10" i="1"/>
  <c r="O17" i="1"/>
  <c r="O29" i="1"/>
  <c r="T10" i="1"/>
  <c r="O31" i="1"/>
  <c r="T24" i="1"/>
  <c r="T12" i="1"/>
  <c r="T31" i="1"/>
  <c r="V12" i="1"/>
  <c r="O16" i="1"/>
  <c r="T33" i="1"/>
  <c r="O11" i="1"/>
  <c r="V14" i="1"/>
  <c r="T16" i="1"/>
  <c r="O18" i="1"/>
  <c r="V21" i="1"/>
  <c r="T28" i="1"/>
  <c r="O30" i="1"/>
  <c r="V33" i="1"/>
  <c r="T29" i="1"/>
  <c r="O26" i="1"/>
  <c r="T19" i="1"/>
  <c r="V24" i="1"/>
  <c r="V19" i="1"/>
  <c r="T26" i="1"/>
  <c r="O23" i="1"/>
  <c r="T23" i="1"/>
  <c r="V28" i="1"/>
  <c r="T17" i="1"/>
  <c r="O14" i="1"/>
  <c r="AA125" i="1" l="1"/>
  <c r="V34" i="1"/>
  <c r="O34" i="1"/>
  <c r="AA62" i="1"/>
  <c r="V118" i="1"/>
  <c r="AA104" i="1"/>
  <c r="O85" i="1"/>
  <c r="V85" i="1"/>
  <c r="O118" i="1"/>
  <c r="T118" i="1"/>
  <c r="T85" i="1"/>
  <c r="AA121" i="1"/>
  <c r="T126" i="1"/>
  <c r="Z104" i="1"/>
  <c r="T34" i="1"/>
  <c r="AA110" i="1"/>
  <c r="Z110" i="1" s="1"/>
  <c r="Z37" i="1"/>
  <c r="Z62" i="1" s="1"/>
  <c r="AA111" i="1"/>
  <c r="Z111" i="1" s="1"/>
  <c r="AA67" i="1"/>
  <c r="Z67" i="1" s="1"/>
  <c r="AA117" i="1"/>
  <c r="Z117" i="1" s="1"/>
  <c r="AA108" i="1"/>
  <c r="Z108" i="1" s="1"/>
  <c r="AA107" i="1"/>
  <c r="AA109" i="1"/>
  <c r="Z109" i="1" s="1"/>
  <c r="AA112" i="1"/>
  <c r="Z112" i="1" s="1"/>
  <c r="AA113" i="1"/>
  <c r="Z113" i="1" s="1"/>
  <c r="AA116" i="1"/>
  <c r="Z116" i="1" s="1"/>
  <c r="AA114" i="1"/>
  <c r="Z114" i="1" s="1"/>
  <c r="AA115" i="1"/>
  <c r="Z115" i="1" s="1"/>
  <c r="AA74" i="1"/>
  <c r="Z74" i="1" s="1"/>
  <c r="AA29" i="1"/>
  <c r="Z29" i="1" s="1"/>
  <c r="AA31" i="1"/>
  <c r="Z31" i="1" s="1"/>
  <c r="AA70" i="1"/>
  <c r="Z70" i="1" s="1"/>
  <c r="AA79" i="1"/>
  <c r="Z79" i="1" s="1"/>
  <c r="AA71" i="1"/>
  <c r="Z71" i="1" s="1"/>
  <c r="AA81" i="1"/>
  <c r="Z81" i="1" s="1"/>
  <c r="AA68" i="1"/>
  <c r="Z68" i="1" s="1"/>
  <c r="AA82" i="1"/>
  <c r="Z82" i="1" s="1"/>
  <c r="AA14" i="1"/>
  <c r="Z14" i="1" s="1"/>
  <c r="AA30" i="1"/>
  <c r="Z30" i="1" s="1"/>
  <c r="AA73" i="1"/>
  <c r="Z73" i="1" s="1"/>
  <c r="AA32" i="1"/>
  <c r="Z32" i="1" s="1"/>
  <c r="AA28" i="1"/>
  <c r="Z28" i="1" s="1"/>
  <c r="AA19" i="1"/>
  <c r="Z19" i="1" s="1"/>
  <c r="AA27" i="1"/>
  <c r="Z27" i="1" s="1"/>
  <c r="AA33" i="1"/>
  <c r="Z33" i="1" s="1"/>
  <c r="AA18" i="1"/>
  <c r="Z18" i="1" s="1"/>
  <c r="AA17" i="1"/>
  <c r="Z17" i="1" s="1"/>
  <c r="AA10" i="1"/>
  <c r="AA20" i="1"/>
  <c r="Z20" i="1" s="1"/>
  <c r="AA69" i="1"/>
  <c r="Z69" i="1" s="1"/>
  <c r="AA76" i="1"/>
  <c r="Z76" i="1" s="1"/>
  <c r="AA84" i="1"/>
  <c r="Z84" i="1" s="1"/>
  <c r="AA75" i="1"/>
  <c r="Z75" i="1" s="1"/>
  <c r="AA21" i="1"/>
  <c r="Z21" i="1" s="1"/>
  <c r="AA24" i="1"/>
  <c r="Z24" i="1" s="1"/>
  <c r="AA16" i="1"/>
  <c r="Z16" i="1" s="1"/>
  <c r="AA77" i="1"/>
  <c r="Z77" i="1" s="1"/>
  <c r="AA65" i="1"/>
  <c r="AA25" i="1"/>
  <c r="Z25" i="1" s="1"/>
  <c r="AA12" i="1"/>
  <c r="Z12" i="1" s="1"/>
  <c r="AA23" i="1"/>
  <c r="Z23" i="1" s="1"/>
  <c r="AA22" i="1"/>
  <c r="Z22" i="1" s="1"/>
  <c r="AA66" i="1"/>
  <c r="Z66" i="1" s="1"/>
  <c r="AA11" i="1"/>
  <c r="Z11" i="1" s="1"/>
  <c r="AA83" i="1"/>
  <c r="Z83" i="1" s="1"/>
  <c r="AA15" i="1"/>
  <c r="Z15" i="1" s="1"/>
  <c r="AA26" i="1"/>
  <c r="Z26" i="1" s="1"/>
  <c r="AA13" i="1"/>
  <c r="Z13" i="1" s="1"/>
  <c r="AA72" i="1"/>
  <c r="Z72" i="1" s="1"/>
  <c r="AA80" i="1"/>
  <c r="Z80" i="1" s="1"/>
  <c r="AA126" i="1" l="1"/>
  <c r="Z125" i="1"/>
  <c r="Z121" i="1"/>
  <c r="Z126" i="1" s="1"/>
  <c r="AA118" i="1"/>
  <c r="AA85" i="1"/>
  <c r="Z107" i="1"/>
  <c r="Z118" i="1" s="1"/>
  <c r="Z65" i="1"/>
  <c r="Z85" i="1" s="1"/>
  <c r="Z10" i="1"/>
  <c r="Z34" i="1" s="1"/>
  <c r="AA34" i="1"/>
  <c r="Z7" i="1" l="1"/>
  <c r="AA7" i="1" s="1"/>
</calcChain>
</file>

<file path=xl/sharedStrings.xml><?xml version="1.0" encoding="utf-8"?>
<sst xmlns="http://schemas.openxmlformats.org/spreadsheetml/2006/main" count="808" uniqueCount="321">
  <si>
    <t>Naziv natjecanja</t>
  </si>
  <si>
    <t>Kategorija</t>
  </si>
  <si>
    <t>Mjesto</t>
  </si>
  <si>
    <t>Datum polaska</t>
  </si>
  <si>
    <t>Datum povratka</t>
  </si>
  <si>
    <t>Br. Gimn.</t>
  </si>
  <si>
    <t>Br.  Trenera</t>
  </si>
  <si>
    <t>Br. Sudaca</t>
  </si>
  <si>
    <t>Ostalo
(fizio, vođa del.)</t>
  </si>
  <si>
    <t>Smještaj
po osobi</t>
  </si>
  <si>
    <t>Prehrana - hotel</t>
  </si>
  <si>
    <t>Broj
noćenja</t>
  </si>
  <si>
    <t>Iznos
dnevnice</t>
  </si>
  <si>
    <t>Broj km</t>
  </si>
  <si>
    <t>€/km</t>
  </si>
  <si>
    <t>Kilometraža</t>
  </si>
  <si>
    <t>Avio karta
(po osobi)</t>
  </si>
  <si>
    <t>seniori</t>
  </si>
  <si>
    <t>Cairo</t>
  </si>
  <si>
    <t>puni pansion</t>
  </si>
  <si>
    <t>Cottbus</t>
  </si>
  <si>
    <t>noćenje s doručkom</t>
  </si>
  <si>
    <t>Doha</t>
  </si>
  <si>
    <t>Baku</t>
  </si>
  <si>
    <t>Antalya</t>
  </si>
  <si>
    <t>Osijek</t>
  </si>
  <si>
    <t>Rimini</t>
  </si>
  <si>
    <t>Varna</t>
  </si>
  <si>
    <t>polupansion</t>
  </si>
  <si>
    <t>Koper</t>
  </si>
  <si>
    <t>Szombathely</t>
  </si>
  <si>
    <t>juniori</t>
  </si>
  <si>
    <t>Riga</t>
  </si>
  <si>
    <t>MDK</t>
  </si>
  <si>
    <t>Widnau</t>
  </si>
  <si>
    <t>Europsko prvenstvo</t>
  </si>
  <si>
    <t xml:space="preserve">Rimini </t>
  </si>
  <si>
    <t>Junior Budapest Cup</t>
  </si>
  <si>
    <t>Budimpešta</t>
  </si>
  <si>
    <t>Balkan Games</t>
  </si>
  <si>
    <t>Istambul</t>
  </si>
  <si>
    <t>Future Cup</t>
  </si>
  <si>
    <t>Linz</t>
  </si>
  <si>
    <t>Novi Sad</t>
  </si>
  <si>
    <t>Šalamunov memorijal</t>
  </si>
  <si>
    <t>Maribor</t>
  </si>
  <si>
    <t>Izvor financiranja</t>
  </si>
  <si>
    <t>HOO</t>
  </si>
  <si>
    <t>Vlastita
sredstva</t>
  </si>
  <si>
    <t xml:space="preserve">Ukupno
</t>
  </si>
  <si>
    <t>Datum održavanja</t>
  </si>
  <si>
    <t>Broj osoba (A kriterij)</t>
  </si>
  <si>
    <t>redni
broj</t>
  </si>
  <si>
    <t>Lučko</t>
  </si>
  <si>
    <t>Za EP Rimini</t>
  </si>
  <si>
    <t>za Rigu</t>
  </si>
  <si>
    <t>za Widnau</t>
  </si>
  <si>
    <t>za EP 1</t>
  </si>
  <si>
    <t xml:space="preserve">Lučko </t>
  </si>
  <si>
    <t>za EP 2</t>
  </si>
  <si>
    <t>za Budimpeštu</t>
  </si>
  <si>
    <t>za Šalamunov</t>
  </si>
  <si>
    <t>za Balkan Games</t>
  </si>
  <si>
    <t>za Future Cup</t>
  </si>
  <si>
    <t>za Novi Sad</t>
  </si>
  <si>
    <t>Budapest</t>
  </si>
  <si>
    <t>Ljubljana</t>
  </si>
  <si>
    <t>Innsbruck</t>
  </si>
  <si>
    <t>Istanbul</t>
  </si>
  <si>
    <t>Za Cairo</t>
  </si>
  <si>
    <t>Za Cottbus</t>
  </si>
  <si>
    <t>Za Dohu</t>
  </si>
  <si>
    <t>Za Baku</t>
  </si>
  <si>
    <t>Za Rimini</t>
  </si>
  <si>
    <t>Za Antalya</t>
  </si>
  <si>
    <t>Za Osijek</t>
  </si>
  <si>
    <t>Za Varna</t>
  </si>
  <si>
    <t>Za Koper</t>
  </si>
  <si>
    <t>Za Szombathely</t>
  </si>
  <si>
    <t>Za Innsbruck</t>
  </si>
  <si>
    <t>Za Budapest</t>
  </si>
  <si>
    <t>Za Ljubljana</t>
  </si>
  <si>
    <t>Za Maribor</t>
  </si>
  <si>
    <t>Za Istanbul</t>
  </si>
  <si>
    <t>PH</t>
  </si>
  <si>
    <t>SENIORI</t>
  </si>
  <si>
    <t>PALAIO FALIRO</t>
  </si>
  <si>
    <t>SOFIA</t>
  </si>
  <si>
    <t>BAKU</t>
  </si>
  <si>
    <t>PORTIMAO</t>
  </si>
  <si>
    <t>BUDIMPESTA</t>
  </si>
  <si>
    <t>JUNIORI</t>
  </si>
  <si>
    <t>CLUJ NAPOCA</t>
  </si>
  <si>
    <t>LJUBLJANA</t>
  </si>
  <si>
    <t>BEOGRAD</t>
  </si>
  <si>
    <t>BUDVA</t>
  </si>
  <si>
    <t>SARAJEVO</t>
  </si>
  <si>
    <t>21.09.2024.</t>
  </si>
  <si>
    <t>Balkansko prvenstvo</t>
  </si>
  <si>
    <t>LUČKO</t>
  </si>
  <si>
    <t>VRSAR</t>
  </si>
  <si>
    <t>22.-25.2.2024</t>
  </si>
  <si>
    <t>I.I.</t>
  </si>
  <si>
    <t>Ministastvo
turizma i sporta</t>
  </si>
  <si>
    <t>Programske skupine i programi</t>
  </si>
  <si>
    <t>rbr.</t>
  </si>
  <si>
    <t>Ukupno
aktivnost
(3+4+5)</t>
  </si>
  <si>
    <t>I.</t>
  </si>
  <si>
    <t>REDOVNI PROGRAM (I.I. + I.II.)</t>
  </si>
  <si>
    <t>Ukupno</t>
  </si>
  <si>
    <t>MUŠKA SPORTSKA GIMNASTIKA - NATJECANJA</t>
  </si>
  <si>
    <t>MUŠKA SPORTSKA GIMNASTIKA - PRIPREME</t>
  </si>
  <si>
    <t>ŽENSKA SPORTSKA GIMNASTIKA - NATJECANJA</t>
  </si>
  <si>
    <t>ŽENSKA SPORTSKA GIMNASTIKA - PRIPREME</t>
  </si>
  <si>
    <t>RITMIČKA GIMNASTIKA - NATJECANJA</t>
  </si>
  <si>
    <t>RITMIČKA GIMNASTIKA - PRIPREME</t>
  </si>
  <si>
    <t>JAVNI</t>
  </si>
  <si>
    <t>VLASTITI</t>
  </si>
  <si>
    <t>FINANCIJSKI I NEFINANCIJSKI ELEMENTI ZA POJEDINE PROGRAME</t>
  </si>
  <si>
    <t>I.II.</t>
  </si>
  <si>
    <t>Redovni program za materijalne troškove poslovanja</t>
  </si>
  <si>
    <t>Ukupno smještaj
(konto 425)</t>
  </si>
  <si>
    <t>Ukupno PN
(konto 424)</t>
  </si>
  <si>
    <t>Trošak avio
prijevoz 
(konto 425)</t>
  </si>
  <si>
    <t>Kombi
Rent-a-car
(konto 425)</t>
  </si>
  <si>
    <t>Najam dvorane
(konto 425)</t>
  </si>
  <si>
    <t>HOO
(konto 3711)</t>
  </si>
  <si>
    <t>Vlastita
sredstva
(konta skupine
31, 32 i 34)</t>
  </si>
  <si>
    <t>PRVENSTVA HRVATSKE U SPORTSKOJ GIMNASTICI</t>
  </si>
  <si>
    <t>Oprema i rekviziti</t>
  </si>
  <si>
    <t>Višebojsko PH u slobodnom i obaveznom programu</t>
  </si>
  <si>
    <t>Ekipno i višebojsko Prvenstvo Hrvatske u apsolutnom programu</t>
  </si>
  <si>
    <t>Pojedinačno Prvenstvo Hrvatske u univerzalnom programu</t>
  </si>
  <si>
    <t>PRVENSTVA HRVATSKE U RITMIČKOJ GIMNASTICI</t>
  </si>
  <si>
    <t>Diplome, medalje i pehari
(konto 425)</t>
  </si>
  <si>
    <t>Oprema i rekviziti
(konto 426)</t>
  </si>
  <si>
    <t>Obrada podataka/razglasna i video oprema
(konto 426)</t>
  </si>
  <si>
    <t>1.</t>
  </si>
  <si>
    <t>1.1.</t>
  </si>
  <si>
    <t>Rashodi za radnike</t>
  </si>
  <si>
    <t>Rashodi za radnike (konta 411 i 421)</t>
  </si>
  <si>
    <t>1.2.</t>
  </si>
  <si>
    <t>2.</t>
  </si>
  <si>
    <t>Povremeni stručni rad (konto 424)</t>
  </si>
  <si>
    <t>Prvenstvo Hrvatske u Parkouru</t>
  </si>
  <si>
    <t>PARKOUR - NATJECANJA</t>
  </si>
  <si>
    <t>Montpellier, Francuska</t>
  </si>
  <si>
    <t>Coimbra, Portugal</t>
  </si>
  <si>
    <t>9.-13.5.2024.</t>
  </si>
  <si>
    <t>15.-20.10.2024.</t>
  </si>
  <si>
    <t>Kotizacija
(konto 425)</t>
  </si>
  <si>
    <t>Avio Karte
(konto 425)</t>
  </si>
  <si>
    <t>PRVENSTVO HRVATSKE U PARKOURU</t>
  </si>
  <si>
    <t>Plaće</t>
  </si>
  <si>
    <t>Neoporezive naknade</t>
  </si>
  <si>
    <t>3.</t>
  </si>
  <si>
    <t>3.1.</t>
  </si>
  <si>
    <t>Rashodi za usluge (režijski i drugi troškovi Stručne službe Saveza (konto 425)</t>
  </si>
  <si>
    <t>3.2.</t>
  </si>
  <si>
    <t>3.3.</t>
  </si>
  <si>
    <t>3.4.</t>
  </si>
  <si>
    <t>3.5.</t>
  </si>
  <si>
    <t>3.6.</t>
  </si>
  <si>
    <t>3.7.</t>
  </si>
  <si>
    <t>Telefon</t>
  </si>
  <si>
    <t>Poštarine</t>
  </si>
  <si>
    <t>Održavanje</t>
  </si>
  <si>
    <t>Komunalne usluge</t>
  </si>
  <si>
    <t>Računalne usluge/digitalizacija</t>
  </si>
  <si>
    <t>4.</t>
  </si>
  <si>
    <t>Međunarodne obveze za članarine (konto 429)</t>
  </si>
  <si>
    <t>Sjednice međunarodnih sportskih asocijacija - sudjelovanje</t>
  </si>
  <si>
    <t>Članarine međunarodnim sportskim asocijacijama</t>
  </si>
  <si>
    <t>5.</t>
  </si>
  <si>
    <t>6.</t>
  </si>
  <si>
    <t>Rashodi amortizacije (konto skupine 43)</t>
  </si>
  <si>
    <t>Tečajne razlike i bankarske usluge (konto 443)</t>
  </si>
  <si>
    <t>7.</t>
  </si>
  <si>
    <t>Tekuće donacije (transferi) klubovima - sufinanciranje (konto 451)</t>
  </si>
  <si>
    <t>Oprema i rekviziti (konto 426)</t>
  </si>
  <si>
    <t>5.1.</t>
  </si>
  <si>
    <t>5.2.</t>
  </si>
  <si>
    <t>8.</t>
  </si>
  <si>
    <t xml:space="preserve">II. </t>
  </si>
  <si>
    <t>Olimpijska solidarnost</t>
  </si>
  <si>
    <t>Tekući rashodi vezani uz financiranje povezanih neprofitnih organizacija</t>
  </si>
  <si>
    <t>Olimpijske igre - pripreme</t>
  </si>
  <si>
    <t>Olimpijski programi</t>
  </si>
  <si>
    <t>2.1.</t>
  </si>
  <si>
    <t>2.2.</t>
  </si>
  <si>
    <t>2.3.</t>
  </si>
  <si>
    <t>2.4.</t>
  </si>
  <si>
    <t>2.5.</t>
  </si>
  <si>
    <t>2.6.</t>
  </si>
  <si>
    <t>2.7.</t>
  </si>
  <si>
    <t>2.9.</t>
  </si>
  <si>
    <t>Natjecanja</t>
  </si>
  <si>
    <t>Pripreme</t>
  </si>
  <si>
    <t>Korštenje sportskih objekata</t>
  </si>
  <si>
    <t>Osobna oprema</t>
  </si>
  <si>
    <t>Vitaminizacija</t>
  </si>
  <si>
    <t>Zdravstvena skrb</t>
  </si>
  <si>
    <t>Specifična oprema</t>
  </si>
  <si>
    <t>Program hrvatskih olimpijskih nada</t>
  </si>
  <si>
    <t>III.</t>
  </si>
  <si>
    <t>Razvojni programi za sportaše</t>
  </si>
  <si>
    <t>Program III. - Programi potpore kvalitetnim sportašima</t>
  </si>
  <si>
    <t>1.3.</t>
  </si>
  <si>
    <t>1.4.</t>
  </si>
  <si>
    <t>1.7.</t>
  </si>
  <si>
    <t>Program II/1 - Program potpore perspektivnim sportašima</t>
  </si>
  <si>
    <t>Program I. - Program potpore sportašima mlađih dobnih kategorija</t>
  </si>
  <si>
    <t>IV.</t>
  </si>
  <si>
    <t>Razvojni programi za trenere</t>
  </si>
  <si>
    <t>Rashodi za usluge (konto 425)</t>
  </si>
  <si>
    <t>PRIHODI</t>
  </si>
  <si>
    <t>Konto</t>
  </si>
  <si>
    <t>Naziv</t>
  </si>
  <si>
    <t>Javni</t>
  </si>
  <si>
    <t>Vlastiti</t>
  </si>
  <si>
    <t>6 (3+4+5)</t>
  </si>
  <si>
    <t>Prihodi od prodaje roba i pružanja usluga</t>
  </si>
  <si>
    <t>Prihodi od prodaje roba i usluga</t>
  </si>
  <si>
    <t>Prihodi od sponzorstva</t>
  </si>
  <si>
    <t>Prihodi od registracija</t>
  </si>
  <si>
    <t>Prihodi od članarina i članskih doprinosa</t>
  </si>
  <si>
    <t>Članarine</t>
  </si>
  <si>
    <t>Kotizacije za natjecanja i ostali troškovi B kandidata</t>
  </si>
  <si>
    <t>Kotizacije - seminari i izdavanje licenci</t>
  </si>
  <si>
    <t>Prihodi od imovine</t>
  </si>
  <si>
    <t xml:space="preserve">Prihodi od financijske imovine </t>
  </si>
  <si>
    <t>Pozitivne tečajne razlike i kamate na depozite po viđenju</t>
  </si>
  <si>
    <t>Prihodi od donacija iz proračuna</t>
  </si>
  <si>
    <t>Prihodi od donacija - MINTS</t>
  </si>
  <si>
    <t>Prihodi od ino. vlada i međunarodnih org.</t>
  </si>
  <si>
    <t>Ostali prihodi</t>
  </si>
  <si>
    <t>Prihodi od povezanih neprofitnih organizacija</t>
  </si>
  <si>
    <t>Prihodi od Hrvatskog olimpijskog odbora</t>
  </si>
  <si>
    <t>Redovni program</t>
  </si>
  <si>
    <t>Pripreme i natjecanja</t>
  </si>
  <si>
    <t>Materijalni troškovi ureda</t>
  </si>
  <si>
    <t>Članarine i sjednice - međunarodne sportske asocijacije</t>
  </si>
  <si>
    <t>Stručni rad - povremeni</t>
  </si>
  <si>
    <t>Naknade za administrativne poslove</t>
  </si>
  <si>
    <t>Plaće trenera</t>
  </si>
  <si>
    <t>Programi sportaša (razvojni i olimpijski)</t>
  </si>
  <si>
    <t>UKUPNO PRIHODI</t>
  </si>
  <si>
    <t>KORIŠTENJE PLANIRANOG REZULTATA - VIŠKA PRIHODA</t>
  </si>
  <si>
    <t>UKUPNO ZA KORIŠTENJE</t>
  </si>
  <si>
    <t>RASHODI</t>
  </si>
  <si>
    <t>Materijalni rashodi</t>
  </si>
  <si>
    <t>Naknade troškova zaposlenicima i ostalim osobama izvan radnog odnosa</t>
  </si>
  <si>
    <t>Naknade ostalim osobama izvan radnog odnosa</t>
  </si>
  <si>
    <t>Rashodi za usluge</t>
  </si>
  <si>
    <t>Ostali trošak</t>
  </si>
  <si>
    <t>Ostali nespomenuti rashodi</t>
  </si>
  <si>
    <t>Amortizacija</t>
  </si>
  <si>
    <t>Financijski rashodi</t>
  </si>
  <si>
    <t>Bankarske i usluge platnog prometa, negativne tečajne razlike</t>
  </si>
  <si>
    <t>Donacije</t>
  </si>
  <si>
    <t>Tekuće donacije (sufinanciranje) - transferi klubovima</t>
  </si>
  <si>
    <t>Ostali rashodi</t>
  </si>
  <si>
    <t>UKUPNO RASHODI</t>
  </si>
  <si>
    <t>PRENESENI REZULTAT - MANJAK PRIHODA ZA POKRIĆE</t>
  </si>
  <si>
    <t>UKUPNO ISKORIŠTENO I POKRIVENI MANJAK</t>
  </si>
  <si>
    <t>(PRIHODI + VIŠAK) - (RASHODI + MANJAK)</t>
  </si>
  <si>
    <t>UKLJUČIVANJE REZULTATA VIŠKA/MANJKA U FINANCIJSKI PLAN</t>
  </si>
  <si>
    <t>PRENESENI REZULTAT POSLOVANJA (RAČUN 522)</t>
  </si>
  <si>
    <t>UKUPNO PLANIRANI REZULTAT POSLOVANJA VIŠAK/MANJAK</t>
  </si>
  <si>
    <t>PLANIRANI REZULTAT KOJI SE UKLJUČUJE U FINANCIJSKI PLAN</t>
  </si>
  <si>
    <t>OSTATAK PLANIRANOG REZULTATA - VIŠAK PRIHODA ZA KORIŠTENJE</t>
  </si>
  <si>
    <t>OSTATAK PLANIRANOG REZULTATA - MANJAK PRIHODA ZA POKRIĆE</t>
  </si>
  <si>
    <t>FINANCIJSKI PLAN ZA 2024.</t>
  </si>
  <si>
    <t>Uredski materijal i oprema</t>
  </si>
  <si>
    <t>Promidžba i izdavaštvo</t>
  </si>
  <si>
    <t>33. Višebojsko Prvenstvo Hrvatske</t>
  </si>
  <si>
    <t>33. Pojedinačno i ekipno Prvenstvo Hrvatske</t>
  </si>
  <si>
    <t xml:space="preserve">15. Prvenstvo Hrvatske u grupnim vježbama </t>
  </si>
  <si>
    <t>33. Prvenstvo  Hrvatske u slobodnom individualnom i grupnom programu</t>
  </si>
  <si>
    <t>CRO-GYM LIGE U SPORTSKOJ I RITMIČKOJ GIMNASTICI</t>
  </si>
  <si>
    <t>CRO-GYM LIGE</t>
  </si>
  <si>
    <t>Nagrade
(konto 425)</t>
  </si>
  <si>
    <t>PN
(konto 424)</t>
  </si>
  <si>
    <t>12.01.2024.</t>
  </si>
  <si>
    <t>23.01.2024.</t>
  </si>
  <si>
    <t>06.02.2024.</t>
  </si>
  <si>
    <t>23.03.2024.</t>
  </si>
  <si>
    <t>30.01.2024.</t>
  </si>
  <si>
    <t>30.03.2024.</t>
  </si>
  <si>
    <t>19.04.2024.</t>
  </si>
  <si>
    <t>26.04.2024.</t>
  </si>
  <si>
    <t>30.08.2024.</t>
  </si>
  <si>
    <t>MINTS
(konto 351)
*nabava DI
(ne nalazi se u rashodima)</t>
  </si>
  <si>
    <t>PLANIRANI VIŠAK/MANJAK ZA 2022.</t>
  </si>
  <si>
    <t>Iznos
(EUR)</t>
  </si>
  <si>
    <t>Izvor financiranja (iznosi u EUR)</t>
  </si>
  <si>
    <t>World Cup</t>
  </si>
  <si>
    <t>Za World Cup Cairo</t>
  </si>
  <si>
    <t>Za World Cup Cottbus</t>
  </si>
  <si>
    <t>Za World Cup Doha</t>
  </si>
  <si>
    <t>Za World Cup Baku</t>
  </si>
  <si>
    <t>PK - FIG World Cup Montpellier</t>
  </si>
  <si>
    <t>PK - FIG World Cup Coimbra</t>
  </si>
  <si>
    <t>World Challenge Cup</t>
  </si>
  <si>
    <t>Za World Challenge Cup Antalya</t>
  </si>
  <si>
    <t>Za World Challenge Cup Osijek</t>
  </si>
  <si>
    <t>Za World Challenge Cup Varna</t>
  </si>
  <si>
    <t>Za World Challenge Cup Koper</t>
  </si>
  <si>
    <t>Za World Challenge Cup Szombathely</t>
  </si>
  <si>
    <t>Međunarodni turnir Riga</t>
  </si>
  <si>
    <t>Međunarodni turnir Widnau</t>
  </si>
  <si>
    <t>Međunarodni turnir Novi Sad</t>
  </si>
  <si>
    <t>Međunarodni turnir</t>
  </si>
  <si>
    <t xml:space="preserve">Međunarodni turnir </t>
  </si>
  <si>
    <t>Pripreme za Atenu</t>
  </si>
  <si>
    <t>Prireme za Sofiu</t>
  </si>
  <si>
    <t>Pripreme za Portimao</t>
  </si>
  <si>
    <t>Pripreme za EP</t>
  </si>
  <si>
    <t>dodatne pripreme</t>
  </si>
  <si>
    <t>Redovni program za sportske aktivnosti (1.-112.)</t>
  </si>
  <si>
    <t>Prihodi od donacija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</si>
</sst>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2]\ * #,##0.00_);_([$€-2]\ * \(#,##0.00\);_([$€-2]\ * &quot;-&quot;??_);_(@_)"/>
    <numFmt numFmtId="165" formatCode="_-* #,##0.00\ [$€-1]_-;\-* #,##0.00\ [$€-1]_-;_-* &quot;-&quot;??\ [$€-1]_-;_-@_-"/>
    <numFmt numFmtId="166" formatCode="#,##0.00\ [$EUR]"/>
    <numFmt numFmtId="167" formatCode="_-* #,##0.00\ [$kn-41A]_-;\-* #,##0.00\ [$kn-41A]_-;_-* &quot;-&quot;??\ [$kn-41A]_-;_-@_-"/>
    <numFmt numFmtId="168" formatCode="_-* #,##0.00\ [$EUR]_-;\-* #,##0.00\ [$EUR]_-;_-* &quot;-&quot;??\ [$EUR]_-;_-@_-"/>
  </numFmts>
  <fonts count="20"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sz val="12"/>
      <name val="Calibri"/>
      <family val="2"/>
      <charset val="238"/>
      <scheme val="minor"/>
    </font>
    <font>
      <b/>
      <sz val="14"/>
      <color theme="1"/>
      <name val="Calibri"/>
      <family val="2"/>
      <charset val="238"/>
      <scheme val="minor"/>
    </font>
    <font>
      <b/>
      <sz val="14"/>
      <name val="Calibri"/>
      <family val="2"/>
      <charset val="238"/>
      <scheme val="minor"/>
    </font>
    <font>
      <b/>
      <sz val="14"/>
      <color theme="0"/>
      <name val="Calibri"/>
      <family val="2"/>
      <charset val="238"/>
      <scheme val="minor"/>
    </font>
    <font>
      <b/>
      <sz val="11"/>
      <color theme="0"/>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b/>
      <sz val="10"/>
      <name val="Calibri"/>
      <family val="2"/>
      <charset val="238"/>
      <scheme val="minor"/>
    </font>
    <font>
      <b/>
      <sz val="10"/>
      <color theme="0"/>
      <name val="Calibri"/>
      <family val="2"/>
      <charset val="238"/>
      <scheme val="minor"/>
    </font>
    <font>
      <b/>
      <sz val="12"/>
      <color theme="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34998626667073579"/>
        <bgColor indexed="64"/>
      </patternFill>
    </fill>
    <fill>
      <patternFill patternType="solid">
        <fgColor theme="1"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75">
    <xf numFmtId="0" fontId="0" fillId="0" borderId="0" xfId="0"/>
    <xf numFmtId="0" fontId="3" fillId="0" borderId="0" xfId="0" applyFont="1"/>
    <xf numFmtId="0" fontId="4" fillId="0" borderId="0" xfId="0" applyFont="1"/>
    <xf numFmtId="0" fontId="5" fillId="0" borderId="0" xfId="0" applyFont="1"/>
    <xf numFmtId="0" fontId="5" fillId="0" borderId="1" xfId="0" applyFont="1" applyBorder="1"/>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5" fontId="6" fillId="0" borderId="1" xfId="0" applyNumberFormat="1" applyFont="1" applyBorder="1" applyAlignment="1">
      <alignment horizontal="center" vertical="center"/>
    </xf>
    <xf numFmtId="166" fontId="5" fillId="0" borderId="1" xfId="0" applyNumberFormat="1" applyFont="1" applyBorder="1"/>
    <xf numFmtId="0" fontId="7" fillId="0" borderId="2" xfId="0" applyFont="1" applyBorder="1" applyAlignment="1">
      <alignment horizontal="center" vertical="center" wrapText="1"/>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165" fontId="10" fillId="5" borderId="1" xfId="0" applyNumberFormat="1" applyFont="1" applyFill="1" applyBorder="1" applyAlignment="1">
      <alignment horizontal="center" vertical="center"/>
    </xf>
    <xf numFmtId="165" fontId="10" fillId="5"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3" borderId="3" xfId="0" applyFont="1" applyFill="1" applyBorder="1" applyAlignment="1">
      <alignment vertical="center"/>
    </xf>
    <xf numFmtId="0" fontId="6" fillId="3" borderId="5" xfId="0" applyFont="1" applyFill="1" applyBorder="1" applyAlignment="1">
      <alignment vertical="center"/>
    </xf>
    <xf numFmtId="0" fontId="12" fillId="0" borderId="1" xfId="0" applyFont="1" applyBorder="1" applyAlignment="1">
      <alignment horizontal="center"/>
    </xf>
    <xf numFmtId="49" fontId="12" fillId="0" borderId="1" xfId="1" applyNumberFormat="1" applyFont="1" applyBorder="1" applyAlignment="1">
      <alignment horizontal="center"/>
    </xf>
    <xf numFmtId="0" fontId="13" fillId="0" borderId="1" xfId="0" applyFont="1" applyBorder="1" applyAlignment="1">
      <alignment horizontal="center"/>
    </xf>
    <xf numFmtId="0" fontId="13" fillId="0" borderId="1" xfId="0" applyFont="1" applyBorder="1"/>
    <xf numFmtId="0" fontId="14" fillId="0" borderId="1" xfId="0" applyFont="1" applyBorder="1" applyAlignment="1">
      <alignment horizontal="center"/>
    </xf>
    <xf numFmtId="49" fontId="14" fillId="0" borderId="1" xfId="1" applyNumberFormat="1" applyFont="1" applyBorder="1" applyAlignment="1">
      <alignment horizontal="center"/>
    </xf>
    <xf numFmtId="0" fontId="15" fillId="0" borderId="1" xfId="0" applyFont="1" applyBorder="1" applyAlignment="1">
      <alignment horizontal="center"/>
    </xf>
    <xf numFmtId="0" fontId="15" fillId="0" borderId="1" xfId="0" applyFont="1" applyBorder="1"/>
    <xf numFmtId="0" fontId="14" fillId="2" borderId="1" xfId="0" applyFont="1" applyFill="1" applyBorder="1" applyAlignment="1">
      <alignment horizontal="center"/>
    </xf>
    <xf numFmtId="0" fontId="13" fillId="0" borderId="0" xfId="0" applyFont="1"/>
    <xf numFmtId="164" fontId="11" fillId="8" borderId="1" xfId="0" applyNumberFormat="1" applyFont="1" applyFill="1" applyBorder="1" applyAlignment="1">
      <alignment horizontal="right"/>
    </xf>
    <xf numFmtId="165" fontId="11" fillId="8" borderId="1" xfId="0" applyNumberFormat="1" applyFont="1" applyFill="1" applyBorder="1" applyAlignment="1">
      <alignment horizontal="right"/>
    </xf>
    <xf numFmtId="0" fontId="17" fillId="2" borderId="1" xfId="0" applyFont="1" applyFill="1" applyBorder="1" applyAlignment="1">
      <alignment horizontal="center"/>
    </xf>
    <xf numFmtId="0" fontId="17" fillId="2" borderId="1" xfId="0" applyFont="1" applyFill="1" applyBorder="1" applyAlignment="1">
      <alignment horizontal="left"/>
    </xf>
    <xf numFmtId="0" fontId="17" fillId="2" borderId="1" xfId="0" applyFont="1" applyFill="1" applyBorder="1"/>
    <xf numFmtId="0" fontId="7" fillId="0" borderId="4" xfId="0" applyFont="1" applyBorder="1" applyAlignment="1">
      <alignment horizontal="center" vertical="center" wrapText="1"/>
    </xf>
    <xf numFmtId="168" fontId="7" fillId="0" borderId="1" xfId="0" applyNumberFormat="1" applyFont="1" applyBorder="1" applyAlignment="1">
      <alignment horizontal="center" vertical="center"/>
    </xf>
    <xf numFmtId="168" fontId="7" fillId="0" borderId="1" xfId="0" applyNumberFormat="1" applyFont="1" applyBorder="1" applyAlignment="1" applyProtection="1">
      <alignment horizontal="center" vertical="center"/>
      <protection locked="0"/>
    </xf>
    <xf numFmtId="168" fontId="6" fillId="0" borderId="1" xfId="0" applyNumberFormat="1" applyFont="1" applyBorder="1" applyAlignment="1">
      <alignment horizontal="center" vertical="center"/>
    </xf>
    <xf numFmtId="168" fontId="5" fillId="0" borderId="1" xfId="0" applyNumberFormat="1" applyFont="1" applyBorder="1"/>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lignment horizontal="center" vertical="center"/>
    </xf>
    <xf numFmtId="168" fontId="7" fillId="0" borderId="1" xfId="1" applyNumberFormat="1" applyFont="1" applyFill="1" applyBorder="1" applyAlignment="1">
      <alignment horizontal="center" vertical="center"/>
    </xf>
    <xf numFmtId="0" fontId="5" fillId="3" borderId="1" xfId="0" applyFont="1" applyFill="1" applyBorder="1"/>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4" fillId="0" borderId="1" xfId="0" applyNumberFormat="1" applyFont="1" applyBorder="1"/>
    <xf numFmtId="164" fontId="6" fillId="0" borderId="1" xfId="0" applyNumberFormat="1" applyFont="1" applyBorder="1" applyAlignment="1">
      <alignment vertical="center"/>
    </xf>
    <xf numFmtId="165" fontId="6" fillId="0" borderId="1" xfId="0" applyNumberFormat="1" applyFont="1" applyBorder="1" applyAlignment="1">
      <alignment vertical="center"/>
    </xf>
    <xf numFmtId="0" fontId="6" fillId="0" borderId="1" xfId="0" applyFont="1" applyBorder="1" applyAlignment="1">
      <alignment vertical="center"/>
    </xf>
    <xf numFmtId="165" fontId="6" fillId="0" borderId="5" xfId="0" applyNumberFormat="1" applyFont="1" applyBorder="1" applyAlignment="1">
      <alignment vertical="center"/>
    </xf>
    <xf numFmtId="165" fontId="6" fillId="0" borderId="2" xfId="0" applyNumberFormat="1" applyFont="1" applyBorder="1" applyAlignment="1">
      <alignment vertical="center"/>
    </xf>
    <xf numFmtId="165" fontId="4" fillId="0" borderId="1" xfId="0" applyNumberFormat="1" applyFont="1" applyBorder="1"/>
    <xf numFmtId="0" fontId="7" fillId="0" borderId="2" xfId="0" applyFont="1" applyBorder="1" applyAlignment="1" applyProtection="1">
      <alignment horizontal="left" vertical="center"/>
      <protection locked="0"/>
    </xf>
    <xf numFmtId="168" fontId="5" fillId="0" borderId="1" xfId="0" applyNumberFormat="1" applyFont="1" applyBorder="1" applyAlignment="1">
      <alignment horizontal="center"/>
    </xf>
    <xf numFmtId="166" fontId="5" fillId="0" borderId="1" xfId="0" applyNumberFormat="1" applyFont="1" applyBorder="1" applyAlignment="1">
      <alignment horizontal="center"/>
    </xf>
    <xf numFmtId="0" fontId="7" fillId="0" borderId="1" xfId="0" applyFont="1" applyBorder="1" applyAlignment="1" applyProtection="1">
      <alignment horizontal="center"/>
      <protection locked="0"/>
    </xf>
    <xf numFmtId="14" fontId="7" fillId="0" borderId="1" xfId="0" applyNumberFormat="1" applyFont="1" applyBorder="1" applyAlignment="1" applyProtection="1">
      <alignment horizontal="center"/>
      <protection locked="0"/>
    </xf>
    <xf numFmtId="1" fontId="7" fillId="0" borderId="1" xfId="0" applyNumberFormat="1" applyFont="1" applyBorder="1" applyAlignment="1" applyProtection="1">
      <alignment horizontal="center"/>
      <protection locked="0"/>
    </xf>
    <xf numFmtId="1" fontId="7" fillId="0" borderId="1" xfId="0" applyNumberFormat="1" applyFont="1" applyBorder="1" applyAlignment="1">
      <alignment horizontal="center"/>
    </xf>
    <xf numFmtId="168" fontId="7" fillId="0" borderId="1" xfId="0" applyNumberFormat="1"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168" fontId="7" fillId="0" borderId="1" xfId="0" applyNumberFormat="1" applyFont="1" applyBorder="1" applyAlignment="1">
      <alignment horizontal="center"/>
    </xf>
    <xf numFmtId="168" fontId="7" fillId="0" borderId="1" xfId="1" applyNumberFormat="1" applyFont="1" applyFill="1" applyBorder="1" applyAlignment="1">
      <alignment horizontal="center"/>
    </xf>
    <xf numFmtId="0" fontId="7" fillId="0" borderId="1" xfId="0" applyFont="1" applyBorder="1" applyAlignment="1" applyProtection="1">
      <alignment horizontal="left" vertical="center"/>
      <protection locked="0"/>
    </xf>
    <xf numFmtId="168" fontId="5" fillId="3" borderId="1" xfId="0" applyNumberFormat="1" applyFont="1" applyFill="1" applyBorder="1"/>
    <xf numFmtId="0" fontId="8" fillId="2" borderId="0" xfId="0" applyFont="1" applyFill="1"/>
    <xf numFmtId="0" fontId="8" fillId="0" borderId="0" xfId="0" applyFont="1"/>
    <xf numFmtId="0" fontId="10" fillId="4" borderId="0" xfId="0" applyFont="1" applyFill="1"/>
    <xf numFmtId="0" fontId="19" fillId="5" borderId="0" xfId="0" applyFont="1" applyFill="1"/>
    <xf numFmtId="0" fontId="4" fillId="3" borderId="0" xfId="0" applyFont="1" applyFill="1"/>
    <xf numFmtId="4" fontId="17" fillId="2" borderId="1" xfId="0" applyNumberFormat="1" applyFont="1" applyFill="1" applyBorder="1" applyAlignment="1" applyProtection="1">
      <alignment horizontal="center" vertical="center"/>
      <protection locked="0"/>
    </xf>
    <xf numFmtId="4" fontId="15" fillId="0" borderId="1" xfId="0" applyNumberFormat="1" applyFont="1" applyBorder="1" applyAlignment="1" applyProtection="1">
      <alignment horizontal="center" vertical="center"/>
      <protection locked="0"/>
    </xf>
    <xf numFmtId="4" fontId="14" fillId="0" borderId="1" xfId="0" applyNumberFormat="1" applyFont="1" applyBorder="1" applyAlignment="1" applyProtection="1">
      <alignment horizontal="center" vertical="center"/>
      <protection locked="0"/>
    </xf>
    <xf numFmtId="166" fontId="18" fillId="7" borderId="1" xfId="0" applyNumberFormat="1" applyFont="1" applyFill="1" applyBorder="1" applyAlignment="1">
      <alignment horizontal="center"/>
    </xf>
    <xf numFmtId="4" fontId="13" fillId="0" borderId="1" xfId="0" applyNumberFormat="1" applyFont="1" applyBorder="1" applyAlignment="1">
      <alignment horizontal="center"/>
    </xf>
    <xf numFmtId="166" fontId="16" fillId="7" borderId="1" xfId="0" applyNumberFormat="1" applyFont="1" applyFill="1" applyBorder="1" applyAlignment="1">
      <alignment horizontal="center"/>
    </xf>
    <xf numFmtId="166" fontId="12" fillId="7" borderId="1" xfId="0" applyNumberFormat="1" applyFont="1" applyFill="1" applyBorder="1" applyAlignment="1">
      <alignment horizontal="right"/>
    </xf>
    <xf numFmtId="166" fontId="11" fillId="8" borderId="1" xfId="0" applyNumberFormat="1" applyFont="1" applyFill="1" applyBorder="1" applyAlignment="1">
      <alignment horizontal="right"/>
    </xf>
    <xf numFmtId="168" fontId="11" fillId="7" borderId="1" xfId="0" applyNumberFormat="1" applyFont="1" applyFill="1" applyBorder="1" applyAlignment="1">
      <alignment horizontal="right"/>
    </xf>
    <xf numFmtId="0" fontId="16" fillId="6" borderId="1" xfId="0" applyFont="1" applyFill="1" applyBorder="1" applyAlignment="1">
      <alignment horizont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2" xfId="0" applyFont="1" applyFill="1" applyBorder="1" applyAlignment="1">
      <alignment horizontal="center"/>
    </xf>
    <xf numFmtId="167" fontId="14" fillId="2" borderId="1" xfId="0" applyNumberFormat="1" applyFont="1" applyFill="1" applyBorder="1" applyAlignment="1">
      <alignment horizontal="center" vertical="center" wrapText="1"/>
    </xf>
    <xf numFmtId="167" fontId="14" fillId="2" borderId="1" xfId="0" applyNumberFormat="1" applyFont="1" applyFill="1" applyBorder="1" applyAlignment="1">
      <alignment horizontal="center" vertical="center"/>
    </xf>
    <xf numFmtId="0" fontId="11" fillId="8" borderId="1" xfId="0" applyFont="1" applyFill="1" applyBorder="1" applyAlignment="1">
      <alignment horizontal="right"/>
    </xf>
    <xf numFmtId="0" fontId="2" fillId="4" borderId="4" xfId="0" applyFont="1" applyFill="1" applyBorder="1" applyAlignment="1">
      <alignment horizontal="right" vertical="center"/>
    </xf>
    <xf numFmtId="0" fontId="2" fillId="4" borderId="5" xfId="0" applyFont="1" applyFill="1" applyBorder="1" applyAlignment="1">
      <alignment horizontal="right" vertical="center"/>
    </xf>
    <xf numFmtId="0" fontId="17" fillId="0" borderId="1" xfId="0" applyFont="1" applyBorder="1" applyAlignment="1">
      <alignment horizontal="right"/>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7" borderId="4" xfId="0" applyFont="1" applyFill="1" applyBorder="1" applyAlignment="1">
      <alignment horizontal="right"/>
    </xf>
    <xf numFmtId="0" fontId="12" fillId="7" borderId="5" xfId="0" applyFont="1" applyFill="1" applyBorder="1" applyAlignment="1">
      <alignment horizontal="right"/>
    </xf>
    <xf numFmtId="0" fontId="12" fillId="7" borderId="2" xfId="0" applyFont="1" applyFill="1" applyBorder="1" applyAlignment="1">
      <alignment horizontal="right"/>
    </xf>
    <xf numFmtId="0" fontId="11" fillId="7" borderId="4" xfId="0" applyFont="1" applyFill="1" applyBorder="1" applyAlignment="1">
      <alignment horizontal="right"/>
    </xf>
    <xf numFmtId="0" fontId="11" fillId="7" borderId="5" xfId="0" applyFont="1" applyFill="1" applyBorder="1" applyAlignment="1">
      <alignment horizontal="right"/>
    </xf>
    <xf numFmtId="0" fontId="11" fillId="7" borderId="2" xfId="0" applyFont="1" applyFill="1" applyBorder="1" applyAlignment="1">
      <alignment horizontal="right"/>
    </xf>
    <xf numFmtId="0" fontId="11" fillId="8" borderId="1" xfId="0" applyFont="1" applyFill="1" applyBorder="1" applyAlignment="1">
      <alignment horizont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lef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0" fillId="5" borderId="1" xfId="0" applyFont="1" applyFill="1" applyBorder="1" applyAlignment="1">
      <alignment horizontal="left" vertical="center"/>
    </xf>
    <xf numFmtId="0" fontId="6" fillId="3" borderId="6" xfId="0" applyFont="1" applyFill="1" applyBorder="1" applyAlignment="1">
      <alignment horizontal="left" vertical="center"/>
    </xf>
    <xf numFmtId="0" fontId="9" fillId="2" borderId="1"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2"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xf>
    <xf numFmtId="168" fontId="5" fillId="0" borderId="1" xfId="0" applyNumberFormat="1" applyFont="1" applyBorder="1" applyAlignment="1">
      <alignment horizontal="center" vertical="center"/>
    </xf>
    <xf numFmtId="14" fontId="7" fillId="0" borderId="1" xfId="0" applyNumberFormat="1" applyFont="1" applyBorder="1" applyAlignment="1" applyProtection="1">
      <alignment horizontal="center" vertical="center"/>
      <protection locked="0"/>
    </xf>
    <xf numFmtId="168" fontId="7" fillId="0" borderId="4" xfId="0" applyNumberFormat="1" applyFont="1" applyBorder="1" applyAlignment="1" applyProtection="1">
      <alignment horizontal="center" vertical="center"/>
      <protection locked="0"/>
    </xf>
    <xf numFmtId="168" fontId="7" fillId="0" borderId="2" xfId="0" applyNumberFormat="1" applyFont="1" applyBorder="1" applyAlignment="1" applyProtection="1">
      <alignment horizontal="center" vertical="center"/>
      <protection locked="0"/>
    </xf>
    <xf numFmtId="0" fontId="5" fillId="0" borderId="4"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166" fontId="5" fillId="0" borderId="1" xfId="0" applyNumberFormat="1" applyFont="1" applyBorder="1" applyAlignment="1">
      <alignment horizontal="center" vertical="center"/>
    </xf>
    <xf numFmtId="0" fontId="6" fillId="3" borderId="5" xfId="0" applyFont="1" applyFill="1" applyBorder="1" applyAlignment="1">
      <alignment horizontal="left" vertical="center"/>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168" fontId="7" fillId="0" borderId="5" xfId="0" applyNumberFormat="1" applyFont="1" applyBorder="1" applyAlignment="1" applyProtection="1">
      <alignment horizontal="center" vertical="center"/>
      <protection locked="0"/>
    </xf>
    <xf numFmtId="168" fontId="5" fillId="0" borderId="4" xfId="0" applyNumberFormat="1" applyFont="1" applyBorder="1" applyAlignment="1">
      <alignment horizontal="center"/>
    </xf>
    <xf numFmtId="168" fontId="5" fillId="0" borderId="5" xfId="0" applyNumberFormat="1" applyFont="1" applyBorder="1" applyAlignment="1">
      <alignment horizontal="center"/>
    </xf>
    <xf numFmtId="168" fontId="5" fillId="0" borderId="2" xfId="0" applyNumberFormat="1" applyFont="1" applyBorder="1" applyAlignment="1">
      <alignment horizontal="center"/>
    </xf>
    <xf numFmtId="166" fontId="6"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4" fillId="0" borderId="1" xfId="0" applyFont="1" applyBorder="1" applyAlignment="1">
      <alignment horizontal="right"/>
    </xf>
    <xf numFmtId="165" fontId="6" fillId="0" borderId="4" xfId="0" applyNumberFormat="1" applyFont="1" applyBorder="1" applyAlignment="1" applyProtection="1">
      <alignment horizontal="center" vertical="center"/>
      <protection locked="0"/>
    </xf>
    <xf numFmtId="165" fontId="6" fillId="0" borderId="5"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165" fontId="4" fillId="0" borderId="4" xfId="0" applyNumberFormat="1" applyFont="1" applyBorder="1" applyAlignment="1">
      <alignment horizontal="center"/>
    </xf>
    <xf numFmtId="165" fontId="4" fillId="0" borderId="5" xfId="0" applyNumberFormat="1" applyFont="1" applyBorder="1" applyAlignment="1">
      <alignment horizontal="center"/>
    </xf>
    <xf numFmtId="165" fontId="4" fillId="0" borderId="2" xfId="0" applyNumberFormat="1" applyFont="1" applyBorder="1" applyAlignment="1">
      <alignment horizontal="center"/>
    </xf>
    <xf numFmtId="165" fontId="4" fillId="0" borderId="1" xfId="0" applyNumberFormat="1" applyFont="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1" xfId="0" applyFont="1" applyBorder="1" applyAlignment="1">
      <alignment horizontal="left"/>
    </xf>
    <xf numFmtId="0" fontId="5" fillId="3" borderId="1" xfId="0" applyFont="1" applyFill="1" applyBorder="1" applyAlignment="1">
      <alignment horizontal="left"/>
    </xf>
    <xf numFmtId="168" fontId="17" fillId="0" borderId="4" xfId="0" applyNumberFormat="1" applyFont="1" applyBorder="1" applyAlignment="1">
      <alignment horizontal="center"/>
    </xf>
    <xf numFmtId="168" fontId="17" fillId="0" borderId="5" xfId="0" applyNumberFormat="1" applyFont="1" applyBorder="1" applyAlignment="1">
      <alignment horizontal="center"/>
    </xf>
    <xf numFmtId="168" fontId="17" fillId="0" borderId="2" xfId="0" applyNumberFormat="1" applyFont="1" applyBorder="1" applyAlignment="1">
      <alignment horizontal="center"/>
    </xf>
    <xf numFmtId="168" fontId="17" fillId="0" borderId="4" xfId="0" applyNumberFormat="1" applyFont="1" applyBorder="1" applyAlignment="1">
      <alignment horizontal="right"/>
    </xf>
    <xf numFmtId="168" fontId="17" fillId="0" borderId="5" xfId="0" applyNumberFormat="1" applyFont="1" applyBorder="1" applyAlignment="1">
      <alignment horizontal="right"/>
    </xf>
    <xf numFmtId="168" fontId="17" fillId="0" borderId="2" xfId="0" applyNumberFormat="1" applyFont="1" applyBorder="1" applyAlignment="1">
      <alignment horizontal="right"/>
    </xf>
  </cellXfs>
  <cellStyles count="2">
    <cellStyle name="Normalno"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38098</xdr:rowOff>
    </xdr:from>
    <xdr:to>
      <xdr:col>29</xdr:col>
      <xdr:colOff>123825</xdr:colOff>
      <xdr:row>43</xdr:row>
      <xdr:rowOff>169332</xdr:rowOff>
    </xdr:to>
    <xdr:sp macro="" textlink="">
      <xdr:nvSpPr>
        <xdr:cNvPr id="2" name="TekstniOkvir 1">
          <a:extLst>
            <a:ext uri="{FF2B5EF4-FFF2-40B4-BE49-F238E27FC236}">
              <a16:creationId xmlns:a16="http://schemas.microsoft.com/office/drawing/2014/main" id="{2BE6217B-5C3F-D9A3-422C-0FB0867591AD}"/>
            </a:ext>
          </a:extLst>
        </xdr:cNvPr>
        <xdr:cNvSpPr txBox="1"/>
      </xdr:nvSpPr>
      <xdr:spPr>
        <a:xfrm>
          <a:off x="19049" y="38098"/>
          <a:ext cx="17701332" cy="8019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endParaRPr lang="hr-HR" sz="1300"/>
        </a:p>
        <a:p>
          <a:r>
            <a:rPr lang="hr-HR" sz="1100" b="1" i="0" u="none" strike="noStrike">
              <a:solidFill>
                <a:schemeClr val="dk1"/>
              </a:solidFill>
              <a:effectLst/>
              <a:latin typeface="+mn-lt"/>
              <a:ea typeface="+mn-ea"/>
              <a:cs typeface="+mn-cs"/>
            </a:rPr>
            <a:t> </a:t>
          </a:r>
          <a:r>
            <a:rPr lang="hr-HR" sz="1300"/>
            <a:t>Na temelju Zakona o financijskom poslovanju i računovodstvu neprofitnih organizacija (NN 121/14, 114/22), Pravilnika o neprofitnom računovodstvu i računskom planu (NN 1/15, 25/17, 96/18, 103/18, 134/22), te Pravilnika o sustavu financijskog upravljanja i kontrola te izrade i izvršavanja financijskih planova neprofitnih organizacija (NN 119/15, 134/22), </a:t>
          </a:r>
          <a:r>
            <a:rPr lang="hr-HR" sz="1300" b="1"/>
            <a:t>Hrvatski gimnastički savez kao obveznik vođenja dvojnog knjigovodstva je pripremio prema načelima Zakona o računovodstvu neprofitnih organizacija, a Skupština usvojila Financijski plan i godišnji Plan rada za 2024. godinu dana, dana 29.12.2023.</a:t>
          </a:r>
        </a:p>
        <a:p>
          <a:r>
            <a:rPr lang="hr-HR" sz="1300"/>
            <a:t> </a:t>
          </a:r>
        </a:p>
        <a:p>
          <a:r>
            <a:rPr lang="hr-HR" sz="1300"/>
            <a:t>Neprofitne organizacije obveznici dvojnog računovodstva dužne su do kraja 2023. donijeti financijske planove za 2024. godinu. Financijski plan za 2024. godinu donosi se u EUR-ima.</a:t>
          </a:r>
        </a:p>
        <a:p>
          <a:endParaRPr lang="hr-HR" sz="1300"/>
        </a:p>
        <a:p>
          <a:r>
            <a:rPr lang="hr-HR" sz="1300">
              <a:solidFill>
                <a:schemeClr val="dk1"/>
              </a:solidFill>
              <a:effectLst/>
              <a:latin typeface="+mn-lt"/>
              <a:ea typeface="+mn-ea"/>
              <a:cs typeface="+mn-cs"/>
            </a:rPr>
            <a:t>Normativni okvir financijskog planiranja u neprofitnom sustavu uređen je:</a:t>
          </a:r>
        </a:p>
        <a:p>
          <a:r>
            <a:rPr lang="hr-HR" sz="1300">
              <a:solidFill>
                <a:schemeClr val="dk1"/>
              </a:solidFill>
              <a:effectLst/>
              <a:latin typeface="+mn-lt"/>
              <a:ea typeface="+mn-ea"/>
              <a:cs typeface="+mn-cs"/>
            </a:rPr>
            <a:t>• Zakonom o financijskom poslovanju i računovodstvu neprofitnih organizacija (Nar. nov., br. 121/14.)</a:t>
          </a:r>
        </a:p>
        <a:p>
          <a:r>
            <a:rPr lang="hr-HR" sz="1300">
              <a:solidFill>
                <a:schemeClr val="dk1"/>
              </a:solidFill>
              <a:effectLst/>
              <a:latin typeface="+mn-lt"/>
              <a:ea typeface="+mn-ea"/>
              <a:cs typeface="+mn-cs"/>
            </a:rPr>
            <a:t>• Pravilnikom o sustavu financijskog upravljanja i kontrola te izradi i izvršavanju financijskih planova neprofitnih organizacija čl. 10.-19. (Nar. nov., br. 119/15.)</a:t>
          </a:r>
        </a:p>
        <a:p>
          <a:r>
            <a:rPr lang="hr-HR" sz="1300">
              <a:solidFill>
                <a:schemeClr val="dk1"/>
              </a:solidFill>
              <a:effectLst/>
              <a:latin typeface="+mn-lt"/>
              <a:ea typeface="+mn-ea"/>
              <a:cs typeface="+mn-cs"/>
            </a:rPr>
            <a:t> </a:t>
          </a:r>
        </a:p>
        <a:p>
          <a:r>
            <a:rPr lang="hr-HR" sz="1300">
              <a:solidFill>
                <a:schemeClr val="dk1"/>
              </a:solidFill>
              <a:effectLst/>
              <a:latin typeface="+mn-lt"/>
              <a:ea typeface="+mn-ea"/>
              <a:cs typeface="+mn-cs"/>
            </a:rPr>
            <a:t> </a:t>
          </a:r>
          <a:r>
            <a:rPr lang="hr-HR" sz="1300" b="1" u="sng">
              <a:solidFill>
                <a:schemeClr val="dk1"/>
              </a:solidFill>
              <a:effectLst/>
              <a:latin typeface="+mn-lt"/>
              <a:ea typeface="+mn-ea"/>
              <a:cs typeface="+mn-cs"/>
            </a:rPr>
            <a:t>Obvezni dijelovi financijskog plana su:</a:t>
          </a:r>
        </a:p>
        <a:p>
          <a:pPr lvl="0"/>
          <a:r>
            <a:rPr lang="hr-HR" sz="1300">
              <a:solidFill>
                <a:schemeClr val="dk1"/>
              </a:solidFill>
              <a:effectLst/>
              <a:latin typeface="+mn-lt"/>
              <a:ea typeface="+mn-ea"/>
              <a:cs typeface="+mn-cs"/>
            </a:rPr>
            <a:t>1. Plan prihoda i rashoda</a:t>
          </a:r>
        </a:p>
        <a:p>
          <a:pPr lvl="0"/>
          <a:r>
            <a:rPr lang="hr-HR" sz="1300">
              <a:solidFill>
                <a:schemeClr val="dk1"/>
              </a:solidFill>
              <a:effectLst/>
              <a:latin typeface="+mn-lt"/>
              <a:ea typeface="+mn-ea"/>
              <a:cs typeface="+mn-cs"/>
            </a:rPr>
            <a:t>2. Plan zaduživanja i otplata*</a:t>
          </a:r>
        </a:p>
        <a:p>
          <a:pPr lvl="0"/>
          <a:r>
            <a:rPr lang="hr-HR" sz="1300">
              <a:solidFill>
                <a:schemeClr val="dk1"/>
              </a:solidFill>
              <a:effectLst/>
              <a:latin typeface="+mn-lt"/>
              <a:ea typeface="+mn-ea"/>
              <a:cs typeface="+mn-cs"/>
            </a:rPr>
            <a:t>3. Obrazloženje financijskog plana</a:t>
          </a:r>
        </a:p>
        <a:p>
          <a:pPr lvl="0"/>
          <a:endParaRPr lang="hr-HR" sz="1300">
            <a:solidFill>
              <a:schemeClr val="dk1"/>
            </a:solidFill>
            <a:effectLst/>
            <a:latin typeface="+mn-lt"/>
            <a:ea typeface="+mn-ea"/>
            <a:cs typeface="+mn-cs"/>
          </a:endParaRPr>
        </a:p>
        <a:p>
          <a:pPr lvl="0"/>
          <a:endParaRPr lang="hr-HR" sz="1300">
            <a:solidFill>
              <a:schemeClr val="dk1"/>
            </a:solidFill>
            <a:effectLst/>
            <a:latin typeface="+mn-lt"/>
            <a:ea typeface="+mn-ea"/>
            <a:cs typeface="+mn-cs"/>
          </a:endParaRPr>
        </a:p>
        <a:p>
          <a:pPr eaLnBrk="1" fontAlgn="auto" latinLnBrk="0" hangingPunct="1"/>
          <a:r>
            <a:rPr lang="hr-HR" sz="1300">
              <a:solidFill>
                <a:schemeClr val="dk1"/>
              </a:solidFill>
              <a:effectLst/>
              <a:latin typeface="+mn-lt"/>
              <a:ea typeface="+mn-ea"/>
              <a:cs typeface="+mn-cs"/>
            </a:rPr>
            <a:t>*</a:t>
          </a:r>
          <a:r>
            <a:rPr lang="hr-HR" sz="1100">
              <a:solidFill>
                <a:schemeClr val="dk1"/>
              </a:solidFill>
              <a:effectLst/>
              <a:latin typeface="+mn-lt"/>
              <a:ea typeface="+mn-ea"/>
              <a:cs typeface="+mn-cs"/>
            </a:rPr>
            <a:t>Hrvatski gimnastički savez u 2024. </a:t>
          </a:r>
          <a:r>
            <a:rPr lang="hr-HR" sz="1100" b="1">
              <a:solidFill>
                <a:schemeClr val="dk1"/>
              </a:solidFill>
              <a:effectLst/>
              <a:latin typeface="+mn-lt"/>
              <a:ea typeface="+mn-ea"/>
              <a:cs typeface="+mn-cs"/>
            </a:rPr>
            <a:t>ne planira </a:t>
          </a:r>
          <a:r>
            <a:rPr lang="hr-HR" sz="1100">
              <a:solidFill>
                <a:schemeClr val="dk1"/>
              </a:solidFill>
              <a:effectLst/>
              <a:latin typeface="+mn-lt"/>
              <a:ea typeface="+mn-ea"/>
              <a:cs typeface="+mn-cs"/>
            </a:rPr>
            <a:t>ostvarivanje primitaka od zaduživanja temeljem primljenih kredita i zajmova, primitaka od prodaje vrijednosnih papira, dionica i udjela u glavnici, primitaka od povrata glavnice danih zajmova niti izdataka od danih zajmova, ulaganja u vrijednosne papire, dionice i</a:t>
          </a:r>
          <a:r>
            <a:rPr lang="hr-HR" sz="1100" baseline="0">
              <a:solidFill>
                <a:schemeClr val="dk1"/>
              </a:solidFill>
              <a:effectLst/>
              <a:latin typeface="+mn-lt"/>
              <a:ea typeface="+mn-ea"/>
              <a:cs typeface="+mn-cs"/>
            </a:rPr>
            <a:t> </a:t>
          </a:r>
          <a:r>
            <a:rPr lang="hr-HR" sz="1100">
              <a:solidFill>
                <a:schemeClr val="dk1"/>
              </a:solidFill>
              <a:effectLst/>
              <a:latin typeface="+mn-lt"/>
              <a:ea typeface="+mn-ea"/>
              <a:cs typeface="+mn-cs"/>
            </a:rPr>
            <a:t>udjele te otplata glavnice primljenih kredita i zajmova.</a:t>
          </a:r>
          <a:endParaRPr lang="hr-HR" sz="1400">
            <a:effectLst/>
          </a:endParaRPr>
        </a:p>
        <a:p>
          <a:pPr lvl="0"/>
          <a:endParaRPr lang="hr-HR" sz="1300">
            <a:solidFill>
              <a:schemeClr val="dk1"/>
            </a:solidFill>
            <a:effectLst/>
            <a:latin typeface="+mn-lt"/>
            <a:ea typeface="+mn-ea"/>
            <a:cs typeface="+mn-cs"/>
          </a:endParaRPr>
        </a:p>
        <a:p>
          <a:endParaRPr lang="hr-HR" sz="1100"/>
        </a:p>
      </xdr:txBody>
    </xdr:sp>
    <xdr:clientData/>
  </xdr:twoCellAnchor>
  <xdr:twoCellAnchor editAs="oneCell">
    <xdr:from>
      <xdr:col>9</xdr:col>
      <xdr:colOff>495301</xdr:colOff>
      <xdr:row>1</xdr:row>
      <xdr:rowOff>28575</xdr:rowOff>
    </xdr:from>
    <xdr:to>
      <xdr:col>19</xdr:col>
      <xdr:colOff>247651</xdr:colOff>
      <xdr:row>12</xdr:row>
      <xdr:rowOff>11285</xdr:rowOff>
    </xdr:to>
    <xdr:pic>
      <xdr:nvPicPr>
        <xdr:cNvPr id="4" name="Slika 3">
          <a:extLst>
            <a:ext uri="{FF2B5EF4-FFF2-40B4-BE49-F238E27FC236}">
              <a16:creationId xmlns:a16="http://schemas.microsoft.com/office/drawing/2014/main" id="{DAD6DA99-34D5-26F0-9A6A-3D279EEEB888}"/>
            </a:ext>
          </a:extLst>
        </xdr:cNvPr>
        <xdr:cNvPicPr>
          <a:picLocks noChangeAspect="1"/>
        </xdr:cNvPicPr>
      </xdr:nvPicPr>
      <xdr:blipFill>
        <a:blip xmlns:r="http://schemas.openxmlformats.org/officeDocument/2006/relationships" r:embed="rId1"/>
        <a:stretch>
          <a:fillRect/>
        </a:stretch>
      </xdr:blipFill>
      <xdr:spPr>
        <a:xfrm>
          <a:off x="5981701" y="209550"/>
          <a:ext cx="5848350" cy="1973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50799</xdr:rowOff>
    </xdr:from>
    <xdr:to>
      <xdr:col>25</xdr:col>
      <xdr:colOff>6350</xdr:colOff>
      <xdr:row>103</xdr:row>
      <xdr:rowOff>0</xdr:rowOff>
    </xdr:to>
    <xdr:sp macro="" textlink="">
      <xdr:nvSpPr>
        <xdr:cNvPr id="2" name="TekstniOkvir 1">
          <a:extLst>
            <a:ext uri="{FF2B5EF4-FFF2-40B4-BE49-F238E27FC236}">
              <a16:creationId xmlns:a16="http://schemas.microsoft.com/office/drawing/2014/main" id="{BDF60122-0556-78D7-E203-E4B4D39C0BA1}"/>
            </a:ext>
          </a:extLst>
        </xdr:cNvPr>
        <xdr:cNvSpPr txBox="1"/>
      </xdr:nvSpPr>
      <xdr:spPr>
        <a:xfrm>
          <a:off x="88899" y="50799"/>
          <a:ext cx="15767051" cy="18916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a:t>3. Obrazloženje financijskog plana</a:t>
          </a:r>
        </a:p>
        <a:p>
          <a:r>
            <a:rPr lang="hr-HR" sz="1100"/>
            <a:t> </a:t>
          </a:r>
        </a:p>
        <a:p>
          <a:r>
            <a:rPr lang="hr-HR" sz="1100"/>
            <a:t>Financijski plan Hrvatskog gimnastičkog saveza sastavlja se sukladno propisima Zakona o financijskom poslovanju i računovodstvu neprofitnih organizacija, kao i Pravilnika o sustavu financijskog upravljanja i kontrola te izrade i izvršavanja financijskih planova neprofitnih organizacija prema načelima Zakona o računovodstvu neprofitnih organizacija. </a:t>
          </a:r>
        </a:p>
        <a:p>
          <a:r>
            <a:rPr lang="hr-HR" sz="1100"/>
            <a:t>Plan prihoda i rashoda priprema se (najmanje) na razini skupine iz Računskog plana za neprofitne organizacije, a prihodi i rashodi planirani su u skladu s računovodstvenim načelom nastanka događaja, dakle po načelu obračunske osnove (pretpostavka nastanka događaja), a ne po novčanom načelu (kada se očekuje da će novac biti primljen ili isplaćen).</a:t>
          </a:r>
        </a:p>
        <a:p>
          <a:r>
            <a:rPr lang="hr-HR" sz="1100"/>
            <a:t>Financijski plan odnosi se na cjelokupnu djelatnost Hrvatskog gimnastičkog saveza, uključujući i gospodarsku djelatnost. </a:t>
          </a:r>
        </a:p>
        <a:p>
          <a:r>
            <a:rPr lang="hr-HR" sz="1100"/>
            <a:t> </a:t>
          </a:r>
        </a:p>
        <a:p>
          <a:r>
            <a:rPr lang="hr-HR" sz="1100"/>
            <a:t>3.1. Obrazloženje skupina prihoda i rashoda</a:t>
          </a:r>
        </a:p>
        <a:p>
          <a:r>
            <a:rPr lang="hr-HR" sz="1100"/>
            <a:t> </a:t>
          </a:r>
        </a:p>
        <a:p>
          <a:r>
            <a:rPr lang="hr-HR" sz="1100"/>
            <a:t>Obrazloženje skupine prihoda 31 – Prihodi od prodaje roba i usluga:</a:t>
          </a:r>
        </a:p>
        <a:p>
          <a:r>
            <a:rPr lang="hr-HR" sz="1100"/>
            <a:t>U financijskom planu za 2024. planirani su na skupini 31 prihodi od prodaje roba i usluga u ukupnom iznosu od 145.000 EUR koje se odnose na:</a:t>
          </a:r>
        </a:p>
        <a:p>
          <a:r>
            <a:rPr lang="hr-HR" sz="1100"/>
            <a:t>Prihode od sponzorstva u ukupnom iznosu 100.000 EUR.</a:t>
          </a:r>
        </a:p>
        <a:p>
          <a:r>
            <a:rPr lang="hr-HR" sz="1100"/>
            <a:t>HGS planira ostvariti u 2024. godini prihode  po ugovorima o sponzorstvu s tvrtkama Hrvatska elektroprivreda d.d. (HEP) i Jadranski naftovod d.d. (JANAF) u ukupnom iznosu od 100.000 EUR</a:t>
          </a:r>
        </a:p>
        <a:p>
          <a:r>
            <a:rPr lang="hr-HR" sz="1100"/>
            <a:t>Prihode od registracija sportaša u ukupnom iznosu 45.000 EUR što se procjenjuje na temelju povijesnih računovodstvenih podataka i informacije iz bruto bilance HGS-a za prvih 11 mjeseci 2023. što je bilo dostupno kao informacija u trenutku sastavljanja plana za 2024. Ne očekuju se veća odstupanja u odnosu na prethodna razdoblja.</a:t>
          </a:r>
          <a:r>
            <a:rPr lang="hr-HR" sz="1100" baseline="0"/>
            <a:t> </a:t>
          </a:r>
        </a:p>
        <a:p>
          <a:endParaRPr lang="hr-HR" sz="1100"/>
        </a:p>
        <a:p>
          <a:r>
            <a:rPr lang="hr-HR" sz="1100"/>
            <a:t>Obrazloženje skupine prihoda 32 – Prihodi od članarina i članskih doprinosa:</a:t>
          </a:r>
        </a:p>
        <a:p>
          <a:r>
            <a:rPr lang="hr-HR" sz="1100"/>
            <a:t>U financijskom planu za 2024. planirani su na skupini 32 prihodi od članarina i članskih doprinosa u ukupnom iznosu od 98.750 EUR, a odnose se na:</a:t>
          </a:r>
        </a:p>
        <a:p>
          <a:r>
            <a:rPr lang="hr-HR" sz="1100"/>
            <a:t>Članarine za klubove utvrđene Odlukom o visini godišnje članarine kojom se uređuje iznos i način plaćanja redovitih članova HGS-a, kao i razlozi zbog kojih se člana može privremeno ili trajno osloboditi od dužnosti plaćanja članarine. Planiraju se iznosi članarina u iznosu od 500 EUR po klubu, a za županijske/gradske gimnastičke Saveze članice Hrvatskog gimnastičkog saveza 250 EUR. </a:t>
          </a:r>
        </a:p>
        <a:p>
          <a:r>
            <a:rPr lang="hr-HR" sz="1100"/>
            <a:t>Kotizacije za natjecanja i ostali troškovi B kandidata u iznosu od 50.000 EUR odnose se na sve prihode koje HGS ostvaruje po izdanim fakturama klubovima (vlastito financiranje), npr. troškovi smještaja i obroka na natjecanjima, te troškovi puta za sportaše koji su na kvalifikacijskim natjecanjima ostvarili B kriterij ukoliko na natjecanju ne ostvare A kriterij. Iznos je procijenjen na temelju povijesnih podataka iz računovodstvene evidencije izdanih računa za prvih 11 mjeseci 2023. godine i na temelju ranijih razdoblja, te na temelju planiranih aktivnosti četiri grane gimnastike u 2024. godini kao razlika između ukupno planiranog troška natjecanja i troška koji je financiran od strane Hrvatskog olimpijskog odbora</a:t>
          </a:r>
        </a:p>
        <a:p>
          <a:r>
            <a:rPr lang="hr-HR" sz="1100"/>
            <a:t>Kotizacije – godišnji webinari i izdavanje licenci u ukupnom iznosu od 15.000 EUR odnosi se na sve izdane račune na ime trenerskih i sudačkih webinara i izdavanja licenci. Iznos je procijenjen na temelju povijesnih podataka. Ne očekuju se promjene u odnosu na prethodne godine.</a:t>
          </a:r>
        </a:p>
        <a:p>
          <a:r>
            <a:rPr lang="hr-HR" sz="1100"/>
            <a:t> </a:t>
          </a:r>
        </a:p>
        <a:p>
          <a:r>
            <a:rPr lang="hr-HR" sz="1100"/>
            <a:t>Obrazloženje skupine prihoda 34 – Prihodi od financijske imovine:</a:t>
          </a:r>
        </a:p>
        <a:p>
          <a:r>
            <a:rPr lang="hr-HR" sz="1100"/>
            <a:t>U financijskom planu za 2024. godinu planirani su na skupini 34 prihodi od financijske imovine u ukupnom iznosu od 300 EUR, a odnose se na pozitivne tečajne razlike ostvarene kod međugraničnih plaćanja, kao i kamate na depozite po viđenju. Iznos je procijenjen na temelju povijesnih računovodstvenih podataka.</a:t>
          </a:r>
        </a:p>
        <a:p>
          <a:endParaRPr lang="hr-HR" sz="1100"/>
        </a:p>
        <a:p>
          <a:r>
            <a:rPr lang="hr-HR" sz="1100"/>
            <a:t>Obrazloženje skupine prihoda 35 - Prihodi od donacija</a:t>
          </a:r>
        </a:p>
        <a:p>
          <a:endParaRPr lang="hr-HR" sz="1100"/>
        </a:p>
        <a:p>
          <a:r>
            <a:rPr lang="hr-HR" sz="1100" b="0" i="0">
              <a:solidFill>
                <a:schemeClr val="dk1"/>
              </a:solidFill>
              <a:effectLst/>
              <a:latin typeface="+mn-lt"/>
              <a:ea typeface="+mn-ea"/>
              <a:cs typeface="+mn-cs"/>
            </a:rPr>
            <a:t>Hrvatski gimnastički savez planira primiti donaciju od Ministarstva turizma i sporta (MINTS) za sufinanciranje provedbe velike sportske manifestacije – DOBRO World Cup Osijek. Izvršna organizacija ovog natjecanja dodiljena je GD Osijek-Žito, koji će se u 2024. godini (kao i 2023. godine) javiti na poziv MINTS-a za sufinanciranje velikih sportskih manifestacija, a HGS će biti partner na tom projektu. Dio financijskih sredstava dodijeljenih od strane MINTS-a će putem izvršnog organizatora biti prenesena na račun HGS-a kako bi se nabavile gimnastičke sprave i oprema koje će ostati upisane kao vlasništvo HGS-a.</a:t>
          </a:r>
        </a:p>
        <a:p>
          <a:endParaRPr lang="hr-HR" sz="1100" b="0" i="0">
            <a:solidFill>
              <a:schemeClr val="dk1"/>
            </a:solidFill>
            <a:effectLst/>
            <a:latin typeface="+mn-lt"/>
            <a:ea typeface="+mn-ea"/>
            <a:cs typeface="+mn-cs"/>
          </a:endParaRPr>
        </a:p>
        <a:p>
          <a:r>
            <a:rPr lang="hr-HR" sz="1100" b="0" i="0">
              <a:solidFill>
                <a:schemeClr val="dk1"/>
              </a:solidFill>
              <a:effectLst/>
              <a:latin typeface="+mn-lt"/>
              <a:ea typeface="+mn-ea"/>
              <a:cs typeface="+mn-cs"/>
            </a:rPr>
            <a:t>Prihodi od donacija obuhvaćaju novac i drugu imovinu koju, bez obveze vraćanja ili protučinidbe, neprofitna organizacija dobije iz državnog proračuna, proračuna jedinica lokalne i područne (regionalne) samouprave, od inozemnih vlada i međunarodnih institucija, od trgovačkih društava i drugih pravnih osoba te od građana i kućanstava. Državne potpore koje se odnose na nefinancijsku imovinu koja se amortizira knjižit će se kao prihodi tijekom razdoblja u istom omjeru u kojem je imovina amortizirana. Odredbama propisa propisano je obvezna uporaba odgođenog priznavanja prihoda u slučaju ako se radi o primljenoj donaciji dugotrajne nefinancijske imovine, a također i kada se primi novčani dar za nabavu dugotrajne nefinancijske imovine. Donacije povezane s nefinancijskom imovinom koja se amortizira priznaju se u bilanci kao odgođeni prihod uz priznavanje u prihode izvještajnog razdoblja na sustavnoj osnovi razmjerno troškovima uporabe nefinancijske imovine u razdoblju korištenja (čl. 26. st. 2. Zakona o financijskom poslovanju i računovodstvu neprofitnih organizacija). Dakle, ako neprofitna organizacija primi donaciju nefinancijske imovine koja se amortizira ili donaciju povezanu s izvršenjem ugovorenih programa, primitak te imovine knjiži se u korist računa 2922 – Odgođeno priznavanje prihoda. U prihode izvještajnog razdoblja priznaje se samo onaj dio prihoda razmjerno troškovima uporabe nefinancijske imovine u razdoblju korištenja.</a:t>
          </a:r>
        </a:p>
        <a:p>
          <a:endParaRPr lang="hr-HR" sz="1100" b="0" i="0">
            <a:solidFill>
              <a:schemeClr val="dk1"/>
            </a:solidFill>
            <a:effectLst/>
            <a:latin typeface="+mn-lt"/>
            <a:ea typeface="+mn-ea"/>
            <a:cs typeface="+mn-cs"/>
          </a:endParaRPr>
        </a:p>
        <a:p>
          <a:r>
            <a:rPr lang="hr-HR" sz="1100" b="0" i="0">
              <a:solidFill>
                <a:schemeClr val="dk1"/>
              </a:solidFill>
              <a:effectLst/>
              <a:latin typeface="+mn-lt"/>
              <a:ea typeface="+mn-ea"/>
              <a:cs typeface="+mn-cs"/>
            </a:rPr>
            <a:t>U slučaju Hrvatskog</a:t>
          </a:r>
          <a:r>
            <a:rPr lang="hr-HR" sz="1100" b="0" i="0" baseline="0">
              <a:solidFill>
                <a:schemeClr val="dk1"/>
              </a:solidFill>
              <a:effectLst/>
              <a:latin typeface="+mn-lt"/>
              <a:ea typeface="+mn-ea"/>
              <a:cs typeface="+mn-cs"/>
            </a:rPr>
            <a:t> gimnastičkog saveza to znači da će planirana donacija Ministarstva turizma i sporta u iznosu od 200.000 eura, a koja se odnosi na sprave (nefinancijsku imovinu) biti vidljiva u bilanci u ukupnom iznosu kao povećanje imovine i prvotno knjiženo u ukupnom iznosu istovremeno na kontu obveza (račun 2922) koji se odnosi na odgođeno priznavanje prihoda s kojeg će se kroz uporabni vijek proporcionalno priznavati u prihode iznos amortizacije što će na konačni rezultat poslovanja svake godine imati neutralan efekt, odnosno očekuje se u 2024. 20.000 eura troškova amortizacije za novonabavljenu imovinu ukupne vrijednosti 200.000 eura koja ima procijenjeni uporabni vijek 10 godina (uvećanje na kontu rashoda za amortizaciju - vidljivo na skupini rashoda 43) i proporcionalno priznavanje prihoda od donacija na kontu skupine 35.</a:t>
          </a:r>
          <a:endParaRPr lang="hr-HR" sz="1100"/>
        </a:p>
        <a:p>
          <a:endParaRPr lang="hr-HR" sz="1100"/>
        </a:p>
        <a:p>
          <a:r>
            <a:rPr lang="hr-HR" sz="1100"/>
            <a:t>Obrazloženje skupine prihoda 37 – Prihodi od povezanih neprofitnih organizacija:</a:t>
          </a:r>
        </a:p>
        <a:p>
          <a:r>
            <a:rPr lang="hr-HR" sz="1100"/>
            <a:t>U financijskom planu za 2024. godinu planirani su na skupini 37 prihodi od povezanih neprofitnih organizacija u ukupnom iznosu od 824.669,99 EUR, a koji se odnose na projekciju planiranih odobrenih sredstava od strane Hrvatskog olimpijskog odbora za namjensko trošenje kroz 2024. godinu. Za Redovni program procijenjeni iznos odobrenih sredstava je u iznosu od 600.035 EUR (uključujući sredstva za natjecanja, pripreme, opremu i rekvizite, međunarodne kongrese, članarine europskim i svjetskim sportskim asocijacijama, stručni rad, materijalne troškove i funkcioniranje rada ureda HGS-a). Funkcioniranje rada ureda odnosi se na: materijalne troškove ureda (uključujući i vanjske usluge, npr. knjigovodstvo, zatim usluge telefonije, uredski materijal, opremanje ureda i sl.), naknade za administrativne poslove (ukupni trošak plaće dvije administrativne i glavne tajnice), neoporezive naknade zaposlenicima (regres, božićnica, prijevoz na posao i s posla).</a:t>
          </a:r>
        </a:p>
        <a:p>
          <a:r>
            <a:rPr lang="hr-HR" sz="1100"/>
            <a:t> </a:t>
          </a:r>
        </a:p>
        <a:p>
          <a:r>
            <a:rPr lang="hr-HR" sz="1100"/>
            <a:t>Za sufinanciranje plaća trenera procijenjeni iznos odobrenih sredstava je u iznosu od 130.600 EUR. Procjena je na temelju povijesnih podataka.  U trenutku sastavljanja plana nisu poznate točne vrijednosti sufinanciranja rada trenera i individualnih programa sportaša (razvojni i olimpijski) koji se nalaze na kontu 3713 financijskog plana, koji su također doneseni na temelju povijesnih podataka i očekivanja za naredno razdoblje.</a:t>
          </a:r>
        </a:p>
        <a:p>
          <a:r>
            <a:rPr lang="hr-HR" sz="1100"/>
            <a:t>Prihodi skupine 37 isključivo su namjenska sredstva koja se u potpunosti transferiraju tako da će se isti naći i na rashodovnoj strani financijskog plana i neće imati utjecaj na planirani rezultat poslovanja Hrvatskog gimnastičkog saveza. Izvorni prihodi Saveza iz Plana prihoda su prihodi sa skupina 31 do 36. Dio sredstava redovnih i razvojnih programa Hrvatskog olimpijskog odbora koji su na raspolaganju  direktno korisnicima ne vodi se u poslovnim knjigama Hrvatskog gimnastičkog saveza, pa ista nisu ni vidljiva u financijskom planu (npr. stipendije</a:t>
          </a:r>
          <a:r>
            <a:rPr lang="hr-HR" sz="1100" baseline="0"/>
            <a:t> i putna osiguranja koja osigurava direktno HOO)</a:t>
          </a:r>
          <a:r>
            <a:rPr lang="hr-HR" sz="1100"/>
            <a:t>.</a:t>
          </a:r>
        </a:p>
        <a:p>
          <a:r>
            <a:rPr lang="hr-HR" sz="1100"/>
            <a:t>Sva sredstva Saveza će se sukladno načelima funkcioniranja neprofitnih organizacija usmjeravati u razvoj i unaprjeđenje funkcioniranja Hrvatskog gimnastičkog saveza s glavnim ciljem razvoja gimnastike, te unaprjeđenja kvalitete rada Saveza i njegovih članica.</a:t>
          </a:r>
        </a:p>
        <a:p>
          <a:r>
            <a:rPr lang="hr-HR" sz="1100"/>
            <a:t> </a:t>
          </a:r>
        </a:p>
        <a:p>
          <a:r>
            <a:rPr lang="hr-HR" sz="1100"/>
            <a:t>Obrazloženje skupine rashoda 41 - Plaće:</a:t>
          </a:r>
        </a:p>
        <a:p>
          <a:r>
            <a:rPr lang="hr-HR" sz="1100"/>
            <a:t>U financijskom planu za 2024. godinu planirani su na skupini 41 rashodi za plaće u ukupnom iznosu od 120.232 EUR.</a:t>
          </a:r>
          <a:r>
            <a:rPr lang="hr-HR" sz="1100" baseline="0"/>
            <a:t> N</a:t>
          </a:r>
          <a:r>
            <a:rPr lang="hr-HR" sz="1100"/>
            <a:t>a kontu 411 rashoda za plaće nalazi se ukupan trošak plaće zaposlena četiri djelatnika Hrvatskog gimnastičkog saveza -  predsjednik, glavni tajnik i dva administrativna tajnika. Ukupan trošak plaće sastoji se od neto plaće tri zaposlenika na puno radno vrijeme i jednog zaposlenika</a:t>
          </a:r>
          <a:r>
            <a:rPr lang="hr-HR" sz="1100" baseline="0"/>
            <a:t> na dodatni rad</a:t>
          </a:r>
          <a:r>
            <a:rPr lang="hr-HR" sz="1100"/>
            <a:t>, doprinosa za Mirovinsko osiguranje (20% bruto plaće), poreza i prireza, te doprinosa za zdravstveno osiguranje. Dio ukupnog troška plaća financiran iz vlastitih</a:t>
          </a:r>
          <a:r>
            <a:rPr lang="hr-HR" sz="1100" baseline="0"/>
            <a:t> izvora iznosi 30.000 EUR, dok je ostatak financiran iz sredstava Hrvatskog olimpijskog odbora.</a:t>
          </a:r>
          <a:endParaRPr lang="hr-HR" sz="1100"/>
        </a:p>
        <a:p>
          <a:r>
            <a:rPr lang="hr-HR" sz="1100"/>
            <a:t> </a:t>
          </a:r>
        </a:p>
        <a:p>
          <a:r>
            <a:rPr lang="hr-HR" sz="1100"/>
            <a:t>Obrazloženje skupine rashoda 42 – Materijalni rashodi:</a:t>
          </a:r>
        </a:p>
        <a:p>
          <a:r>
            <a:rPr lang="hr-HR" sz="1100"/>
            <a:t>Skupina rashoda 42 – Materijalni rashodi sastoji se od Naknada troškova zaposlenicima i ostalim osobama izvan radnog odnosa (konto 421), Naknada ostalim osobama izvan radnog odnosa (konto 424), Rashoda za usluge (konto 425), Ostalih troškova (konto 426) i Ostalih nespomenutih rashoda (konto 429).</a:t>
          </a:r>
        </a:p>
        <a:p>
          <a:r>
            <a:rPr lang="hr-HR" sz="1100"/>
            <a:t>Konto 421 – Naknada troškova zaposlenicima i ostalim osobama izvan radnog odnosa u iznosu od 41.423,09</a:t>
          </a:r>
          <a:r>
            <a:rPr lang="hr-HR" sz="1100" baseline="0"/>
            <a:t> </a:t>
          </a:r>
          <a:r>
            <a:rPr lang="hr-HR" sz="1100"/>
            <a:t>EUR odnosi se na sumu svih putnih troškova zaposlenicima (tajnicima), kao i osobama van radnog odnosa.</a:t>
          </a:r>
        </a:p>
        <a:p>
          <a:r>
            <a:rPr lang="hr-HR" sz="1100"/>
            <a:t>Konto 424 – Naknada ostalim osobama izvan radnog odnosa odnosi se na autorske ugovore angažiranih osoba za snimanje/fotografiranje, pripreme sportaša, smještaj i prehranu na natjecanjima i pripremama, te naknade za obavljanje aktivnosti u Savezu koje se odnose na angažiranje stručnjaka kroz ugovore o djelu, uključujući i dio trenera koji su sufinancirani od strane Hrvatskog olimpijskog odbora čije plaće sufinancirane od strane HOO-a vidljive i na prihodovnoj strani financijskog plana (konto 3712), te</a:t>
          </a:r>
          <a:r>
            <a:rPr lang="hr-HR" sz="1100" baseline="0"/>
            <a:t> </a:t>
          </a:r>
          <a:r>
            <a:rPr lang="hr-HR" sz="1100">
              <a:solidFill>
                <a:schemeClr val="dk1"/>
              </a:solidFill>
              <a:effectLst/>
              <a:latin typeface="+mn-lt"/>
              <a:ea typeface="+mn-ea"/>
              <a:cs typeface="+mn-cs"/>
            </a:rPr>
            <a:t>troškovi puta svim sportašima na natjecanja, trenerima, sucima, liječnicima/fizioterapeutima, vođama delegacija, te članovima tijela Saveza za odlazak na sjednice međunarodnih udruženja). Na navedenom kontu se osim svih putnih naloga nalaze i sve zrakoplovne karte, troškovi parkinga, naknada za troškove korištenja osobnog automobila i ostali putni troškovi delegacijama za odlaske na međunarodna natjecanja</a:t>
          </a:r>
          <a:endParaRPr lang="hr-HR" sz="1100"/>
        </a:p>
        <a:p>
          <a:r>
            <a:rPr lang="hr-HR" sz="1100"/>
            <a:t>Konto 425 – Rashodi za usluge odnosi se na sve vanjske usluge koje Savez koristi, a to su usluge knjigovodstvenog servisa kod kojeg se vode poslovne knjige Saveza, zatim usluge obvezne revizije financijskih izvještaja, usluge telefonije, poštanske usluge, intelektualne usluge (seminari), najam prostora, zdravstvene usluge (Covid testiranja), održavanje web stranice, tiskarske usluge, digitalizacija, najmovi</a:t>
          </a:r>
          <a:r>
            <a:rPr lang="hr-HR" sz="1100" baseline="0"/>
            <a:t> dvorana, troškovi smještaja na svim međunarodnim natjecanjima i sjednicama, </a:t>
          </a:r>
          <a:r>
            <a:rPr lang="hr-HR" sz="1100"/>
            <a:t>te ostali troškovi usluga.</a:t>
          </a:r>
        </a:p>
        <a:p>
          <a:r>
            <a:rPr lang="hr-HR" sz="1100"/>
            <a:t>Konto 426 – Ostali trošak odnosi se na sve troškove koji nisu usluge (proizvodi, sitan inventar i sl.), npr. medalje, cvijeće, suveniri, uredski materijal, materijal za održavanje, troškovi viza, sportski rekviziti, oprema i odjeća za natjecanje, nagrade sportašima za rezultate na natjecanjima, vitaminizacija i suplementi sportašima i ostalo, pokali za natjecanje, nagrade za životno djelo i ostalo. Plan troškova konta 426 za 2024. godinu je u iznosu od 77.834</a:t>
          </a:r>
          <a:r>
            <a:rPr lang="hr-HR" sz="1100" baseline="0"/>
            <a:t> </a:t>
          </a:r>
          <a:r>
            <a:rPr lang="hr-HR" sz="1100"/>
            <a:t>EUR. Jedan dio troškova koji se odnosi na opremu i odjeću za natjecanja, sportske rekvizite, vize i vitaminizaciju je sufinancirano od strane Hrvatskog olimpijskog odbora pa se nalazi dijelom na prihodovnoj strani tzv. Individualnih programa sportaša na kontu 3713. Ostali troškovi su financirani iz vlastitih izvora Saveza. Dio koji je sufinanciran od strane HOO-a je odobren unaprijed u financijskom planu HOO-a i taj dio sportaši koriste za individualne potrebe, pa je procjena ovih troškova u 2024. godini u skladu s okvirnim troškovima 2023. godine uz manje promjene koje su posljedica inflacije i povećanja cijena.</a:t>
          </a:r>
        </a:p>
        <a:p>
          <a:r>
            <a:rPr lang="hr-HR" sz="1100"/>
            <a:t>Ostali nespomenuti rashodi na kontu 429 su troškovi premija osiguranja (za trenere, sportaše i ostale članove delegacije), troškovi reprezentacije, članarina međunarodnim asocijacijama – EG, FIG (sufinancirano od strane HOO-a) i BG, te kotizacija za natjecanja. Premije osiguranja očekuju se u istom iznosu u odnosu na prethodnu godinu.</a:t>
          </a:r>
          <a:r>
            <a:rPr lang="hr-HR" sz="1100" baseline="0"/>
            <a:t> M</a:t>
          </a:r>
          <a:r>
            <a:rPr lang="hr-HR" sz="1100"/>
            <a:t>eđunarodne članarine su većinom sufinancirane od strane Hrvatskog olimpijskog odbora - za FIG i</a:t>
          </a:r>
          <a:r>
            <a:rPr lang="hr-HR" sz="1100" baseline="0"/>
            <a:t> EG</a:t>
          </a:r>
          <a:r>
            <a:rPr lang="hr-HR" sz="1100"/>
            <a:t>. </a:t>
          </a:r>
        </a:p>
        <a:p>
          <a:r>
            <a:rPr lang="hr-HR" sz="1100"/>
            <a:t> </a:t>
          </a:r>
        </a:p>
        <a:p>
          <a:r>
            <a:rPr lang="hr-HR" sz="1100"/>
            <a:t>Obrazloženje skupine rashoda 43 – Amortizacija:</a:t>
          </a:r>
        </a:p>
        <a:p>
          <a:r>
            <a:rPr lang="hr-HR" sz="1100"/>
            <a:t>Financijski plan sastavlja se na obračunskoj osnovi po načelu nastanka događaja, pa se tako na rashodovnoj strani nalazi i konto rashoda od amortizacije koji utječe na planirani rezultat poslovanja. No, kao što amortizacija nikad neće biti izdatak, tako postoji vjerojatnost da ni svi prihodi kroz godinu neće biti naplaćeni, te zabilježeni kao primitak novca na žiroračunu </a:t>
          </a:r>
        </a:p>
        <a:p>
          <a:r>
            <a:rPr lang="hr-HR" sz="1100"/>
            <a:t>Amortizacija je trošak poslovanja koji nastaje uporabom dugotrajne imovine koja ima ograničeni vijek trajanja i obračunava se sustavno tijekom procijenjenog vijeka uporabe dugotrajne imovine. Troškovi nabave dugotrajne imovine kapitaliziraju se, a u rashode priznaju tijekom korisnog vijeka uporabe. Računovodstveni i porezni aspekti obračuna amortizacije u Republici Hrvatskoj određeni su računovodstvenim standardima i Zakonom o porezu na dobit. Osnovica za amortizaciju je nabavna vrijednost dugotrajne imovine, odnosno procijenjena vrijednost. Hrvatski gimnastički savez u trenutku sastavljanja Financijskog plana ima dugotrajne imovine nabavne vrijednosti 279.239,34 EUR koja je dijelom amortizirana. Dugotrajna nefinancijska materijalna imovina čiji je pojedinačni trošak nabave niži od 464,53 EUR otpisuje se jednokratno, a ona materijalna imovina većeg troška nabave od 464,53 EUR razvrstava se u dugotrajnu imovinu podložnu obračunu amortizacije i iskazivanju ispravka vrijednosti (vidljivo u bilanci).</a:t>
          </a:r>
        </a:p>
        <a:p>
          <a:r>
            <a:rPr lang="hr-HR" sz="1100"/>
            <a:t>Ukupan iznos amortizacije na temelju trenutnog stanja imovine uvećano za</a:t>
          </a:r>
          <a:r>
            <a:rPr lang="hr-HR" sz="1100" baseline="0"/>
            <a:t> procjenjenu vrijednost plana nabave imovine u 2024. godini</a:t>
          </a:r>
          <a:r>
            <a:rPr lang="hr-HR" sz="1100"/>
            <a:t> procjenjuje se za 2024. godinu na 50.000 EUR. </a:t>
          </a:r>
        </a:p>
        <a:p>
          <a:r>
            <a:rPr lang="hr-HR" sz="1100"/>
            <a:t> </a:t>
          </a:r>
        </a:p>
        <a:p>
          <a:r>
            <a:rPr lang="hr-HR" sz="1100"/>
            <a:t>Obrazloženje skupine rashoda 44 – Financijski rashodi:</a:t>
          </a:r>
        </a:p>
        <a:p>
          <a:r>
            <a:rPr lang="hr-HR" sz="1100"/>
            <a:t>U financijskom planu za 2024. godinu planirani su na skupini 44 financijski rashodi u ukupnom iznosu od 5.000 EUR, kao i prethodne godine, a koji se odnose na bankarske i usluge platnog prometa, te negativne tečajne razlike koje nastaju kod međunarodnih plaćanja. </a:t>
          </a:r>
        </a:p>
        <a:p>
          <a:r>
            <a:rPr lang="hr-HR" sz="1100"/>
            <a:t> </a:t>
          </a:r>
        </a:p>
        <a:p>
          <a:r>
            <a:rPr lang="hr-HR" sz="1100"/>
            <a:t>Obrazloženje skupine rashoda 46– Ostali nespomenuti rashodi:</a:t>
          </a:r>
        </a:p>
        <a:p>
          <a:r>
            <a:rPr lang="hr-HR" sz="1100"/>
            <a:t>Konto ostalih nespomenutih rashoda odnosi se na transfere klubovima koji se računovodstveno provode na mjesečnoj bazi, ali i one koji su izvanredni. Na mjesečnoj bazi Hrvatski olimpijski odbor jednom dijelu trenera sufinancira plaće, pa Hrvatski gimnastički savez iste direktno transferira matičnim klubovima koji u istom tom iznosu isplaćuju trenere kroz obračun plaća. Ulaz s prihodovne strane koji se odnosi na ove rashode nalazi se pod stavkom Prihodi od povezanih neprofitnih organizacija (371). Osim tih transfera u 2023. godini Savez je organizatorima Prvenstava Hrvatske pomogao u troškovima organizacije, pa se iznos sredstava transferiran tim klubovima također nalazi na ovom kontu. Isto se planira i u 2024. godini. Jedan dio rashoda na ovoj stavci je fiksan, a drugi dio varijabilan jer ovisi o odlukama Izvršnog odbora i ostalim prijenosima na klubove. </a:t>
          </a:r>
        </a:p>
        <a:p>
          <a:endParaRPr lang="hr-HR" sz="1100"/>
        </a:p>
        <a:p>
          <a:r>
            <a:rPr lang="hr-HR" sz="1100"/>
            <a:t>Financijski plan sadrži i podatke o planiranom rezultatu poslovanja neprofitne organizacije. Planirani rezultat sastoji se od prenesenog viška (prihoda u odnosu na rashode – obračunska osnova) iz 2022. godine s konta 522 i očekivanog viška za godinu koja prethodi godini za koju se donosi financijski plan, odnosno 2023. na temelju trenutnih računovodstvenih podataka o prihodima i rashodima. </a:t>
          </a:r>
        </a:p>
        <a:p>
          <a:r>
            <a:rPr lang="hr-HR" sz="1100"/>
            <a:t>Procjena za 2024. godinu je da će prihodi biti veći za 20.000 € u odnosu na rashode zbog donacije Ministarstva turizma i sporta koja će se kapitalizirati i biti vidljiva u Bilanci Hrvatskog gimnastičkog saveza u stavci Dugotrajna materijalna imovina, pa je razlika između prihoda uvećanog za višak i rashoda uvećanog za manjak 20.000 €. No, računovodstveno je prikazan na kontu 522 iz 2022. godine Preneseni rezultat poslovanja u iznosu od 212.810,94 EUR, pa on zajedno s planiranim viškom od 200.000 EUR za 2023. godinu daje Ukupno planirani rezultat poslovanja u iznosu od 412,810,94 EUR. Ova stavka uvećana za Planirani rezultat koji se uključuje u financijski plan čini Ostatak planiranog rezultata – viška prihoda za korištenje u iznosu od 432.810,94 EUR.</a:t>
          </a:r>
        </a:p>
        <a:p>
          <a:r>
            <a:rPr lang="hr-HR" sz="1100"/>
            <a:t>Valja napomenuti da je isti rezultat vođenja računovodstva po načelu nastanka događaja, odnosno po obračunskoj osnovi i da nije izjednačen sa stanjem novca na računu Hrvatskog gimnastičkog saveza. Planirani rezultat poslovanja za 2024. godinu je 20.000,00 EUR (prihodi su veći od rashoda za 20.000,00</a:t>
          </a:r>
          <a:r>
            <a:rPr lang="hr-HR" sz="1100" baseline="0"/>
            <a:t> EUR </a:t>
          </a:r>
          <a:r>
            <a:rPr lang="hr-HR" sz="1100"/>
            <a:t>planiranih prihoda od donacija MINTS-a koji će se kapitalizati na kontu Dugotrajne imovine).</a:t>
          </a:r>
        </a:p>
        <a:p>
          <a:endParaRPr lang="hr-HR" sz="1100"/>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29B1-8092-4451-BC31-737B5450B924}">
  <dimension ref="A1"/>
  <sheetViews>
    <sheetView tabSelected="1" zoomScale="90" zoomScaleNormal="90" zoomScaleSheetLayoutView="90" workbookViewId="0"/>
  </sheetViews>
  <sheetFormatPr defaultRowHeight="14.5" x14ac:dyDescent="0.35"/>
  <sheetData/>
  <sheetProtection algorithmName="SHA-512" hashValue="0OwAq8NVVsUpJyOBAcaUf2yqbRV8ruXM1g6RciVEYSi96VrsVPzyoCVuTQrX6zoNmQ/XqjJ9dc2ocbL9UJI2cg==" saltValue="oug/WELck4M4ktPy5ffuEg=="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160F-4949-4695-9A07-7EDECE7BF0A5}">
  <dimension ref="A1:R68"/>
  <sheetViews>
    <sheetView view="pageLayout" zoomScaleNormal="100" zoomScaleSheetLayoutView="83" workbookViewId="0">
      <selection activeCell="F39" sqref="F39:F40"/>
    </sheetView>
  </sheetViews>
  <sheetFormatPr defaultRowHeight="14.5" x14ac:dyDescent="0.35"/>
  <cols>
    <col min="1" max="1" width="5.90625" bestFit="1" customWidth="1"/>
    <col min="2" max="2" width="62.54296875" bestFit="1" customWidth="1"/>
    <col min="3" max="3" width="17" bestFit="1" customWidth="1"/>
    <col min="4" max="4" width="17.7265625" customWidth="1"/>
    <col min="5" max="5" width="21.81640625" customWidth="1"/>
    <col min="6" max="6" width="17.453125" customWidth="1"/>
  </cols>
  <sheetData>
    <row r="1" spans="1:18" x14ac:dyDescent="0.35">
      <c r="A1" s="85" t="s">
        <v>272</v>
      </c>
      <c r="B1" s="85"/>
      <c r="C1" s="85"/>
      <c r="D1" s="85"/>
      <c r="E1" s="85"/>
      <c r="F1" s="85"/>
    </row>
    <row r="2" spans="1:18" x14ac:dyDescent="0.35">
      <c r="A2" s="86" t="s">
        <v>215</v>
      </c>
      <c r="B2" s="87"/>
      <c r="C2" s="87"/>
      <c r="D2" s="87"/>
      <c r="E2" s="87"/>
      <c r="F2" s="87"/>
    </row>
    <row r="3" spans="1:18" x14ac:dyDescent="0.35">
      <c r="A3" s="88" t="s">
        <v>216</v>
      </c>
      <c r="B3" s="89" t="s">
        <v>217</v>
      </c>
      <c r="C3" s="91" t="s">
        <v>295</v>
      </c>
      <c r="D3" s="92"/>
      <c r="E3" s="93"/>
      <c r="F3" s="94" t="s">
        <v>294</v>
      </c>
    </row>
    <row r="4" spans="1:18" x14ac:dyDescent="0.35">
      <c r="A4" s="88"/>
      <c r="B4" s="90"/>
      <c r="C4" s="30" t="s">
        <v>47</v>
      </c>
      <c r="D4" s="30" t="s">
        <v>218</v>
      </c>
      <c r="E4" s="30" t="s">
        <v>219</v>
      </c>
      <c r="F4" s="95"/>
    </row>
    <row r="5" spans="1:18" x14ac:dyDescent="0.35">
      <c r="A5" s="26">
        <v>1</v>
      </c>
      <c r="B5" s="26">
        <v>2</v>
      </c>
      <c r="C5" s="26">
        <v>3</v>
      </c>
      <c r="D5" s="26">
        <v>4</v>
      </c>
      <c r="E5" s="26">
        <v>5</v>
      </c>
      <c r="F5" s="27" t="s">
        <v>220</v>
      </c>
    </row>
    <row r="6" spans="1:18" s="1" customFormat="1" x14ac:dyDescent="0.35">
      <c r="A6" s="34">
        <v>31</v>
      </c>
      <c r="B6" s="35" t="s">
        <v>221</v>
      </c>
      <c r="C6" s="76">
        <v>0</v>
      </c>
      <c r="D6" s="76">
        <v>0</v>
      </c>
      <c r="E6" s="76">
        <f>E7</f>
        <v>145000</v>
      </c>
      <c r="F6" s="76">
        <f>F7</f>
        <v>145000</v>
      </c>
    </row>
    <row r="7" spans="1:18" s="1" customFormat="1" x14ac:dyDescent="0.35">
      <c r="A7" s="34">
        <v>311</v>
      </c>
      <c r="B7" s="36" t="s">
        <v>222</v>
      </c>
      <c r="C7" s="76">
        <v>0</v>
      </c>
      <c r="D7" s="76">
        <v>0</v>
      </c>
      <c r="E7" s="76">
        <f t="shared" ref="E7" si="0">E8+E9</f>
        <v>145000</v>
      </c>
      <c r="F7" s="76">
        <f>F8+F9</f>
        <v>145000</v>
      </c>
    </row>
    <row r="8" spans="1:18" x14ac:dyDescent="0.35">
      <c r="A8" s="28">
        <v>3111</v>
      </c>
      <c r="B8" s="29" t="s">
        <v>223</v>
      </c>
      <c r="C8" s="77">
        <v>0</v>
      </c>
      <c r="D8" s="77">
        <v>0</v>
      </c>
      <c r="E8" s="77">
        <v>100000</v>
      </c>
      <c r="F8" s="78">
        <v>100000</v>
      </c>
    </row>
    <row r="9" spans="1:18" x14ac:dyDescent="0.35">
      <c r="A9" s="28">
        <v>3112</v>
      </c>
      <c r="B9" s="29" t="s">
        <v>224</v>
      </c>
      <c r="C9" s="77">
        <v>0</v>
      </c>
      <c r="D9" s="77">
        <v>0</v>
      </c>
      <c r="E9" s="77">
        <v>45000</v>
      </c>
      <c r="F9" s="78">
        <v>45000</v>
      </c>
    </row>
    <row r="10" spans="1:18" s="1" customFormat="1" x14ac:dyDescent="0.35">
      <c r="A10" s="34">
        <v>32</v>
      </c>
      <c r="B10" s="36" t="s">
        <v>225</v>
      </c>
      <c r="C10" s="76">
        <v>0</v>
      </c>
      <c r="D10" s="76">
        <v>0</v>
      </c>
      <c r="E10" s="76">
        <f>E11</f>
        <v>98750</v>
      </c>
      <c r="F10" s="76">
        <f>F11</f>
        <v>98750</v>
      </c>
    </row>
    <row r="11" spans="1:18" s="1" customFormat="1" x14ac:dyDescent="0.35">
      <c r="A11" s="34">
        <v>321</v>
      </c>
      <c r="B11" s="36" t="s">
        <v>225</v>
      </c>
      <c r="C11" s="76">
        <v>0</v>
      </c>
      <c r="D11" s="76">
        <v>0</v>
      </c>
      <c r="E11" s="76">
        <f>E12+E13+E14</f>
        <v>98750</v>
      </c>
      <c r="F11" s="76">
        <v>98750</v>
      </c>
    </row>
    <row r="12" spans="1:18" x14ac:dyDescent="0.35">
      <c r="A12" s="28">
        <v>3211</v>
      </c>
      <c r="B12" s="29" t="s">
        <v>226</v>
      </c>
      <c r="C12" s="77">
        <v>0</v>
      </c>
      <c r="D12" s="77">
        <v>0</v>
      </c>
      <c r="E12" s="77">
        <v>33750</v>
      </c>
      <c r="F12" s="78">
        <v>33750</v>
      </c>
      <c r="R12" s="1"/>
    </row>
    <row r="13" spans="1:18" x14ac:dyDescent="0.35">
      <c r="A13" s="28">
        <v>3212</v>
      </c>
      <c r="B13" s="29" t="s">
        <v>227</v>
      </c>
      <c r="C13" s="77">
        <v>0</v>
      </c>
      <c r="D13" s="77">
        <v>0</v>
      </c>
      <c r="E13" s="77">
        <v>50000</v>
      </c>
      <c r="F13" s="78">
        <v>50000</v>
      </c>
      <c r="R13" s="1"/>
    </row>
    <row r="14" spans="1:18" x14ac:dyDescent="0.35">
      <c r="A14" s="28">
        <v>3213</v>
      </c>
      <c r="B14" s="29" t="s">
        <v>228</v>
      </c>
      <c r="C14" s="77">
        <v>0</v>
      </c>
      <c r="D14" s="77">
        <v>0</v>
      </c>
      <c r="E14" s="77">
        <v>15000</v>
      </c>
      <c r="F14" s="78">
        <v>15000</v>
      </c>
      <c r="R14" s="1"/>
    </row>
    <row r="15" spans="1:18" s="1" customFormat="1" x14ac:dyDescent="0.35">
      <c r="A15" s="34">
        <v>34</v>
      </c>
      <c r="B15" s="36" t="s">
        <v>229</v>
      </c>
      <c r="C15" s="76">
        <v>0</v>
      </c>
      <c r="D15" s="76">
        <v>0</v>
      </c>
      <c r="E15" s="76">
        <f>E16</f>
        <v>300</v>
      </c>
      <c r="F15" s="76">
        <f>F16</f>
        <v>300</v>
      </c>
    </row>
    <row r="16" spans="1:18" s="1" customFormat="1" x14ac:dyDescent="0.35">
      <c r="A16" s="34">
        <v>341</v>
      </c>
      <c r="B16" s="36" t="s">
        <v>230</v>
      </c>
      <c r="C16" s="76">
        <v>0</v>
      </c>
      <c r="D16" s="76">
        <v>0</v>
      </c>
      <c r="E16" s="76">
        <v>300</v>
      </c>
      <c r="F16" s="76">
        <v>300</v>
      </c>
    </row>
    <row r="17" spans="1:18" x14ac:dyDescent="0.35">
      <c r="A17" s="28">
        <v>3411</v>
      </c>
      <c r="B17" s="29" t="s">
        <v>231</v>
      </c>
      <c r="C17" s="77">
        <v>0</v>
      </c>
      <c r="D17" s="77">
        <v>0</v>
      </c>
      <c r="E17" s="77">
        <v>300</v>
      </c>
      <c r="F17" s="78">
        <v>300</v>
      </c>
      <c r="R17" s="1"/>
    </row>
    <row r="18" spans="1:18" s="1" customFormat="1" x14ac:dyDescent="0.35">
      <c r="A18" s="34">
        <v>35</v>
      </c>
      <c r="B18" s="36" t="s">
        <v>320</v>
      </c>
      <c r="C18" s="76">
        <v>0</v>
      </c>
      <c r="D18" s="76">
        <v>20000</v>
      </c>
      <c r="E18" s="76">
        <v>0</v>
      </c>
      <c r="F18" s="76">
        <f>F19+F21</f>
        <v>20000</v>
      </c>
    </row>
    <row r="19" spans="1:18" s="1" customFormat="1" x14ac:dyDescent="0.35">
      <c r="A19" s="34">
        <v>351</v>
      </c>
      <c r="B19" s="36" t="s">
        <v>232</v>
      </c>
      <c r="C19" s="76">
        <v>0</v>
      </c>
      <c r="D19" s="76">
        <v>20000</v>
      </c>
      <c r="E19" s="76">
        <v>0</v>
      </c>
      <c r="F19" s="76">
        <f>F20</f>
        <v>20000</v>
      </c>
    </row>
    <row r="20" spans="1:18" s="1" customFormat="1" x14ac:dyDescent="0.35">
      <c r="A20" s="34">
        <v>3511</v>
      </c>
      <c r="B20" s="36" t="s">
        <v>233</v>
      </c>
      <c r="C20" s="76">
        <v>0</v>
      </c>
      <c r="D20" s="76">
        <v>20000</v>
      </c>
      <c r="E20" s="76">
        <v>0</v>
      </c>
      <c r="F20" s="76">
        <v>20000</v>
      </c>
    </row>
    <row r="21" spans="1:18" s="1" customFormat="1" x14ac:dyDescent="0.35">
      <c r="A21" s="34">
        <v>352</v>
      </c>
      <c r="B21" s="36" t="s">
        <v>234</v>
      </c>
      <c r="C21" s="76">
        <v>0</v>
      </c>
      <c r="D21" s="76">
        <v>0</v>
      </c>
      <c r="E21" s="76">
        <v>0</v>
      </c>
      <c r="F21" s="76">
        <v>0</v>
      </c>
    </row>
    <row r="22" spans="1:18" s="1" customFormat="1" x14ac:dyDescent="0.35">
      <c r="A22" s="34">
        <v>36</v>
      </c>
      <c r="B22" s="36" t="s">
        <v>235</v>
      </c>
      <c r="C22" s="76">
        <v>0</v>
      </c>
      <c r="D22" s="76">
        <v>0</v>
      </c>
      <c r="E22" s="76">
        <v>0</v>
      </c>
      <c r="F22" s="76">
        <v>0</v>
      </c>
    </row>
    <row r="23" spans="1:18" s="1" customFormat="1" x14ac:dyDescent="0.35">
      <c r="A23" s="34">
        <v>37</v>
      </c>
      <c r="B23" s="36" t="s">
        <v>236</v>
      </c>
      <c r="C23" s="76">
        <f>C24</f>
        <v>824669.99</v>
      </c>
      <c r="D23" s="76">
        <v>0</v>
      </c>
      <c r="E23" s="76">
        <v>0</v>
      </c>
      <c r="F23" s="76">
        <f>C23</f>
        <v>824669.99</v>
      </c>
    </row>
    <row r="24" spans="1:18" s="1" customFormat="1" x14ac:dyDescent="0.35">
      <c r="A24" s="34">
        <v>371</v>
      </c>
      <c r="B24" s="36" t="s">
        <v>237</v>
      </c>
      <c r="C24" s="76">
        <f t="shared" ref="C24" si="1">C25+C32+C33</f>
        <v>824669.99</v>
      </c>
      <c r="D24" s="76">
        <v>0</v>
      </c>
      <c r="E24" s="76">
        <v>0</v>
      </c>
      <c r="F24" s="76">
        <f t="shared" ref="F24:F33" si="2">C24</f>
        <v>824669.99</v>
      </c>
    </row>
    <row r="25" spans="1:18" x14ac:dyDescent="0.35">
      <c r="A25" s="28">
        <v>3711</v>
      </c>
      <c r="B25" s="29" t="s">
        <v>238</v>
      </c>
      <c r="C25" s="77">
        <v>600035</v>
      </c>
      <c r="D25" s="77">
        <v>0</v>
      </c>
      <c r="E25" s="77">
        <v>0</v>
      </c>
      <c r="F25" s="78">
        <f t="shared" si="2"/>
        <v>600035</v>
      </c>
      <c r="R25" s="1"/>
    </row>
    <row r="26" spans="1:18" x14ac:dyDescent="0.35">
      <c r="A26" s="28">
        <v>37111</v>
      </c>
      <c r="B26" s="29" t="s">
        <v>239</v>
      </c>
      <c r="C26" s="77">
        <v>403610</v>
      </c>
      <c r="D26" s="77">
        <v>0</v>
      </c>
      <c r="E26" s="77">
        <v>0</v>
      </c>
      <c r="F26" s="78">
        <f t="shared" si="2"/>
        <v>403610</v>
      </c>
      <c r="R26" s="1"/>
    </row>
    <row r="27" spans="1:18" x14ac:dyDescent="0.35">
      <c r="A27" s="28">
        <v>37112</v>
      </c>
      <c r="B27" s="29" t="s">
        <v>240</v>
      </c>
      <c r="C27" s="77">
        <v>4659</v>
      </c>
      <c r="D27" s="77">
        <v>0</v>
      </c>
      <c r="E27" s="77">
        <v>0</v>
      </c>
      <c r="F27" s="78">
        <f t="shared" si="2"/>
        <v>4659</v>
      </c>
      <c r="R27" s="1"/>
    </row>
    <row r="28" spans="1:18" x14ac:dyDescent="0.35">
      <c r="A28" s="28">
        <v>37113</v>
      </c>
      <c r="B28" s="29" t="s">
        <v>241</v>
      </c>
      <c r="C28" s="77">
        <v>7200</v>
      </c>
      <c r="D28" s="77">
        <v>0</v>
      </c>
      <c r="E28" s="77">
        <v>0</v>
      </c>
      <c r="F28" s="78">
        <f t="shared" si="2"/>
        <v>7200</v>
      </c>
      <c r="R28" s="1"/>
    </row>
    <row r="29" spans="1:18" x14ac:dyDescent="0.35">
      <c r="A29" s="28">
        <v>37114</v>
      </c>
      <c r="B29" s="29" t="s">
        <v>129</v>
      </c>
      <c r="C29" s="77">
        <v>39334</v>
      </c>
      <c r="D29" s="77">
        <v>0</v>
      </c>
      <c r="E29" s="77">
        <v>0</v>
      </c>
      <c r="F29" s="78">
        <f t="shared" si="2"/>
        <v>39334</v>
      </c>
      <c r="R29" s="1"/>
    </row>
    <row r="30" spans="1:18" x14ac:dyDescent="0.35">
      <c r="A30" s="28">
        <v>37115</v>
      </c>
      <c r="B30" s="29" t="s">
        <v>242</v>
      </c>
      <c r="C30" s="77">
        <v>55000</v>
      </c>
      <c r="D30" s="77">
        <v>0</v>
      </c>
      <c r="E30" s="77">
        <v>0</v>
      </c>
      <c r="F30" s="78">
        <f t="shared" si="2"/>
        <v>55000</v>
      </c>
      <c r="R30" s="1"/>
    </row>
    <row r="31" spans="1:18" x14ac:dyDescent="0.35">
      <c r="A31" s="28">
        <v>37116</v>
      </c>
      <c r="B31" s="29" t="s">
        <v>243</v>
      </c>
      <c r="C31" s="77">
        <v>90232</v>
      </c>
      <c r="D31" s="77">
        <v>0</v>
      </c>
      <c r="E31" s="77"/>
      <c r="F31" s="78">
        <f t="shared" si="2"/>
        <v>90232</v>
      </c>
      <c r="R31" s="1"/>
    </row>
    <row r="32" spans="1:18" x14ac:dyDescent="0.35">
      <c r="A32" s="28">
        <v>3712</v>
      </c>
      <c r="B32" s="29" t="s">
        <v>244</v>
      </c>
      <c r="C32" s="77">
        <v>130600</v>
      </c>
      <c r="D32" s="77">
        <v>0</v>
      </c>
      <c r="E32" s="77">
        <v>0</v>
      </c>
      <c r="F32" s="78">
        <f t="shared" si="2"/>
        <v>130600</v>
      </c>
      <c r="R32" s="1"/>
    </row>
    <row r="33" spans="1:18" x14ac:dyDescent="0.35">
      <c r="A33" s="28">
        <v>3713</v>
      </c>
      <c r="B33" s="29" t="s">
        <v>245</v>
      </c>
      <c r="C33" s="77">
        <v>94034.99</v>
      </c>
      <c r="D33" s="77">
        <v>0</v>
      </c>
      <c r="E33" s="77">
        <v>0</v>
      </c>
      <c r="F33" s="78">
        <f t="shared" si="2"/>
        <v>94034.99</v>
      </c>
      <c r="R33" s="1"/>
    </row>
    <row r="34" spans="1:18" s="1" customFormat="1" x14ac:dyDescent="0.35">
      <c r="A34" s="97" t="s">
        <v>246</v>
      </c>
      <c r="B34" s="98"/>
      <c r="C34" s="79">
        <f>C23</f>
        <v>824669.99</v>
      </c>
      <c r="D34" s="79">
        <f>D18</f>
        <v>20000</v>
      </c>
      <c r="E34" s="79">
        <f>E6+E10+E15+E31</f>
        <v>244050</v>
      </c>
      <c r="F34" s="79">
        <f>C34+D34+E34</f>
        <v>1088719.99</v>
      </c>
    </row>
    <row r="35" spans="1:18" s="1" customFormat="1" x14ac:dyDescent="0.35">
      <c r="A35" s="99" t="s">
        <v>247</v>
      </c>
      <c r="B35" s="99"/>
      <c r="C35" s="172">
        <v>0</v>
      </c>
      <c r="D35" s="173"/>
      <c r="E35" s="173"/>
      <c r="F35" s="174"/>
    </row>
    <row r="36" spans="1:18" s="1" customFormat="1" x14ac:dyDescent="0.35">
      <c r="A36" s="99" t="s">
        <v>248</v>
      </c>
      <c r="B36" s="99"/>
      <c r="C36" s="169">
        <f>F34</f>
        <v>1088719.99</v>
      </c>
      <c r="D36" s="170"/>
      <c r="E36" s="170"/>
      <c r="F36" s="171"/>
    </row>
    <row r="37" spans="1:18" x14ac:dyDescent="0.35">
      <c r="A37" s="31"/>
      <c r="B37" s="31"/>
      <c r="C37" s="31"/>
      <c r="D37" s="31"/>
      <c r="E37" s="31"/>
      <c r="F37" s="31"/>
    </row>
    <row r="38" spans="1:18" x14ac:dyDescent="0.35">
      <c r="A38" s="100" t="s">
        <v>249</v>
      </c>
      <c r="B38" s="101"/>
      <c r="C38" s="101"/>
      <c r="D38" s="101"/>
      <c r="E38" s="101"/>
      <c r="F38" s="101"/>
    </row>
    <row r="39" spans="1:18" x14ac:dyDescent="0.35">
      <c r="A39" s="88" t="s">
        <v>216</v>
      </c>
      <c r="B39" s="89" t="s">
        <v>217</v>
      </c>
      <c r="C39" s="91" t="s">
        <v>295</v>
      </c>
      <c r="D39" s="92"/>
      <c r="E39" s="93"/>
      <c r="F39" s="94" t="s">
        <v>294</v>
      </c>
    </row>
    <row r="40" spans="1:18" x14ac:dyDescent="0.35">
      <c r="A40" s="88"/>
      <c r="B40" s="90"/>
      <c r="C40" s="30" t="s">
        <v>47</v>
      </c>
      <c r="D40" s="30" t="s">
        <v>218</v>
      </c>
      <c r="E40" s="30" t="s">
        <v>219</v>
      </c>
      <c r="F40" s="95"/>
    </row>
    <row r="41" spans="1:18" x14ac:dyDescent="0.35">
      <c r="A41" s="22">
        <v>1</v>
      </c>
      <c r="B41" s="22">
        <v>2</v>
      </c>
      <c r="C41" s="22">
        <v>3</v>
      </c>
      <c r="D41" s="22">
        <v>4</v>
      </c>
      <c r="E41" s="22">
        <v>5</v>
      </c>
      <c r="F41" s="23" t="s">
        <v>220</v>
      </c>
    </row>
    <row r="42" spans="1:18" s="1" customFormat="1" x14ac:dyDescent="0.35">
      <c r="A42" s="34">
        <v>41</v>
      </c>
      <c r="B42" s="36" t="s">
        <v>139</v>
      </c>
      <c r="C42" s="76">
        <v>90232</v>
      </c>
      <c r="D42" s="76">
        <v>0</v>
      </c>
      <c r="E42" s="76">
        <v>30000</v>
      </c>
      <c r="F42" s="76">
        <f>C42+E42</f>
        <v>120232</v>
      </c>
      <c r="R42"/>
    </row>
    <row r="43" spans="1:18" x14ac:dyDescent="0.35">
      <c r="A43" s="24">
        <v>411</v>
      </c>
      <c r="B43" s="25" t="s">
        <v>153</v>
      </c>
      <c r="C43" s="80">
        <v>90232</v>
      </c>
      <c r="D43" s="80">
        <v>0</v>
      </c>
      <c r="E43" s="80">
        <v>30000</v>
      </c>
      <c r="F43" s="80">
        <f>C43+E43</f>
        <v>120232</v>
      </c>
    </row>
    <row r="44" spans="1:18" s="1" customFormat="1" x14ac:dyDescent="0.35">
      <c r="A44" s="34">
        <v>42</v>
      </c>
      <c r="B44" s="36" t="s">
        <v>250</v>
      </c>
      <c r="C44" s="76">
        <f>SUM(C45:C49)</f>
        <v>668590.71</v>
      </c>
      <c r="D44" s="76">
        <f>SUM(D45:D49)</f>
        <v>0</v>
      </c>
      <c r="E44" s="76">
        <f>SUM(E45:E49)</f>
        <v>143350</v>
      </c>
      <c r="F44" s="76">
        <f>SUM(F45:F49)</f>
        <v>837262.66</v>
      </c>
      <c r="R44"/>
    </row>
    <row r="45" spans="1:18" x14ac:dyDescent="0.35">
      <c r="A45" s="24">
        <v>421</v>
      </c>
      <c r="B45" s="25" t="s">
        <v>251</v>
      </c>
      <c r="C45" s="80">
        <v>0</v>
      </c>
      <c r="D45" s="80">
        <v>0</v>
      </c>
      <c r="E45" s="80">
        <f>(25000+16423.09)</f>
        <v>41423.089999999997</v>
      </c>
      <c r="F45" s="80">
        <f>C45+D45+E45</f>
        <v>41423.089999999997</v>
      </c>
    </row>
    <row r="46" spans="1:18" x14ac:dyDescent="0.35">
      <c r="A46" s="24">
        <v>424</v>
      </c>
      <c r="B46" s="25" t="s">
        <v>252</v>
      </c>
      <c r="C46" s="80">
        <f>13420+12104+12850+5536+1839.6+4740+55000-8168.13</f>
        <v>97321.47</v>
      </c>
      <c r="D46" s="80">
        <v>0</v>
      </c>
      <c r="E46" s="80">
        <f>(16423.09+10000.01)</f>
        <v>26423.1</v>
      </c>
      <c r="F46" s="80">
        <f t="shared" ref="F46:F55" si="3">C46+D46+E46</f>
        <v>123744.57</v>
      </c>
    </row>
    <row r="47" spans="1:18" x14ac:dyDescent="0.35">
      <c r="A47" s="24">
        <v>425</v>
      </c>
      <c r="B47" s="25" t="s">
        <v>253</v>
      </c>
      <c r="C47" s="80">
        <f>F47*0.9-8168.13</f>
        <v>520186.77</v>
      </c>
      <c r="D47" s="80">
        <v>0</v>
      </c>
      <c r="E47" s="80">
        <f>52864</f>
        <v>52864</v>
      </c>
      <c r="F47" s="80">
        <v>587061</v>
      </c>
    </row>
    <row r="48" spans="1:18" x14ac:dyDescent="0.35">
      <c r="A48" s="24">
        <v>426</v>
      </c>
      <c r="B48" s="25" t="s">
        <v>254</v>
      </c>
      <c r="C48" s="80">
        <f>(F48-20000)*0.9-8168.13</f>
        <v>43882.47</v>
      </c>
      <c r="D48" s="80"/>
      <c r="E48" s="80">
        <f>((F48-20000)*0.1+16423.09+433.32)</f>
        <v>22639.81</v>
      </c>
      <c r="F48" s="80">
        <v>77834</v>
      </c>
    </row>
    <row r="49" spans="1:18" x14ac:dyDescent="0.35">
      <c r="A49" s="24">
        <v>429</v>
      </c>
      <c r="B49" s="25" t="s">
        <v>255</v>
      </c>
      <c r="C49" s="80">
        <v>7200</v>
      </c>
      <c r="D49" s="80">
        <v>0</v>
      </c>
      <c r="E49" s="80">
        <v>0</v>
      </c>
      <c r="F49" s="80">
        <v>7200</v>
      </c>
    </row>
    <row r="50" spans="1:18" s="1" customFormat="1" x14ac:dyDescent="0.35">
      <c r="A50" s="34">
        <v>43</v>
      </c>
      <c r="B50" s="36" t="s">
        <v>256</v>
      </c>
      <c r="C50" s="76">
        <v>0</v>
      </c>
      <c r="D50" s="76">
        <v>0</v>
      </c>
      <c r="E50" s="76">
        <v>70000</v>
      </c>
      <c r="F50" s="76">
        <f t="shared" si="3"/>
        <v>70000</v>
      </c>
      <c r="R50"/>
    </row>
    <row r="51" spans="1:18" s="1" customFormat="1" x14ac:dyDescent="0.35">
      <c r="A51" s="34">
        <v>44</v>
      </c>
      <c r="B51" s="36" t="s">
        <v>257</v>
      </c>
      <c r="C51" s="76">
        <v>0</v>
      </c>
      <c r="D51" s="76">
        <v>0</v>
      </c>
      <c r="E51" s="76">
        <v>5000</v>
      </c>
      <c r="F51" s="76">
        <f t="shared" si="3"/>
        <v>5000</v>
      </c>
      <c r="R51"/>
    </row>
    <row r="52" spans="1:18" x14ac:dyDescent="0.35">
      <c r="A52" s="24">
        <v>443</v>
      </c>
      <c r="B52" s="25" t="s">
        <v>258</v>
      </c>
      <c r="C52" s="80">
        <v>0</v>
      </c>
      <c r="D52" s="80">
        <v>0</v>
      </c>
      <c r="E52" s="80">
        <v>5000</v>
      </c>
      <c r="F52" s="80">
        <f t="shared" si="3"/>
        <v>5000</v>
      </c>
    </row>
    <row r="53" spans="1:18" s="1" customFormat="1" x14ac:dyDescent="0.35">
      <c r="A53" s="34">
        <v>45</v>
      </c>
      <c r="B53" s="36" t="s">
        <v>259</v>
      </c>
      <c r="C53" s="76"/>
      <c r="D53" s="76">
        <v>0</v>
      </c>
      <c r="E53" s="76">
        <v>10000</v>
      </c>
      <c r="F53" s="76">
        <f t="shared" si="3"/>
        <v>10000</v>
      </c>
      <c r="R53"/>
    </row>
    <row r="54" spans="1:18" x14ac:dyDescent="0.35">
      <c r="A54" s="24">
        <v>451</v>
      </c>
      <c r="B54" s="25" t="s">
        <v>260</v>
      </c>
      <c r="C54" s="80"/>
      <c r="D54" s="80">
        <v>0</v>
      </c>
      <c r="E54" s="80">
        <v>10000</v>
      </c>
      <c r="F54" s="80">
        <f t="shared" si="3"/>
        <v>10000</v>
      </c>
    </row>
    <row r="55" spans="1:18" s="1" customFormat="1" x14ac:dyDescent="0.35">
      <c r="A55" s="34">
        <v>46</v>
      </c>
      <c r="B55" s="36" t="s">
        <v>261</v>
      </c>
      <c r="C55" s="76">
        <f>130000-64152.72</f>
        <v>65847.28</v>
      </c>
      <c r="D55" s="76">
        <v>0</v>
      </c>
      <c r="E55" s="76">
        <v>5700</v>
      </c>
      <c r="F55" s="76">
        <f t="shared" si="3"/>
        <v>71547.28</v>
      </c>
      <c r="R55"/>
    </row>
    <row r="56" spans="1:18" x14ac:dyDescent="0.35">
      <c r="A56" s="97" t="s">
        <v>262</v>
      </c>
      <c r="B56" s="98"/>
      <c r="C56" s="81">
        <f>C42+C44+C53+C55</f>
        <v>824669.99</v>
      </c>
      <c r="D56" s="81">
        <v>0</v>
      </c>
      <c r="E56" s="81">
        <f>E44+E50+E51+E53+E55+E42</f>
        <v>264050</v>
      </c>
      <c r="F56" s="81">
        <f>C56+D56+E56</f>
        <v>1088719.99</v>
      </c>
    </row>
    <row r="57" spans="1:18" x14ac:dyDescent="0.35">
      <c r="A57" s="31"/>
      <c r="B57" s="31"/>
      <c r="C57" s="31"/>
      <c r="D57" s="31"/>
      <c r="E57" s="31"/>
      <c r="F57" s="31"/>
    </row>
    <row r="58" spans="1:18" x14ac:dyDescent="0.35">
      <c r="A58" s="102" t="s">
        <v>263</v>
      </c>
      <c r="B58" s="103"/>
      <c r="C58" s="103"/>
      <c r="D58" s="103"/>
      <c r="E58" s="104"/>
      <c r="F58" s="82">
        <v>0</v>
      </c>
    </row>
    <row r="59" spans="1:18" x14ac:dyDescent="0.35">
      <c r="A59" s="96"/>
      <c r="B59" s="96"/>
      <c r="C59" s="32"/>
      <c r="D59" s="96" t="s">
        <v>264</v>
      </c>
      <c r="E59" s="96"/>
      <c r="F59" s="83">
        <f>F56</f>
        <v>1088719.99</v>
      </c>
    </row>
    <row r="60" spans="1:18" x14ac:dyDescent="0.35">
      <c r="A60" s="96"/>
      <c r="B60" s="96"/>
      <c r="C60" s="33"/>
      <c r="D60" s="96" t="s">
        <v>265</v>
      </c>
      <c r="E60" s="96"/>
      <c r="F60" s="83">
        <v>0</v>
      </c>
    </row>
    <row r="61" spans="1:18" x14ac:dyDescent="0.35">
      <c r="A61" s="31"/>
      <c r="B61" s="31"/>
      <c r="C61" s="31"/>
      <c r="D61" s="31"/>
      <c r="E61" s="31"/>
      <c r="F61" s="31"/>
    </row>
    <row r="62" spans="1:18" x14ac:dyDescent="0.35">
      <c r="A62" s="108" t="s">
        <v>266</v>
      </c>
      <c r="B62" s="108"/>
      <c r="C62" s="108"/>
      <c r="D62" s="108"/>
      <c r="E62" s="108"/>
      <c r="F62" s="108"/>
    </row>
    <row r="63" spans="1:18" x14ac:dyDescent="0.35">
      <c r="A63" s="105" t="s">
        <v>267</v>
      </c>
      <c r="B63" s="106"/>
      <c r="C63" s="106"/>
      <c r="D63" s="106"/>
      <c r="E63" s="107"/>
      <c r="F63" s="84">
        <v>22000</v>
      </c>
    </row>
    <row r="64" spans="1:18" x14ac:dyDescent="0.35">
      <c r="A64" s="105" t="s">
        <v>293</v>
      </c>
      <c r="B64" s="106"/>
      <c r="C64" s="106"/>
      <c r="D64" s="106"/>
      <c r="E64" s="107"/>
      <c r="F64" s="84">
        <v>212810.94</v>
      </c>
    </row>
    <row r="65" spans="1:6" x14ac:dyDescent="0.35">
      <c r="A65" s="105" t="s">
        <v>268</v>
      </c>
      <c r="B65" s="106"/>
      <c r="C65" s="106"/>
      <c r="D65" s="106"/>
      <c r="E65" s="107"/>
      <c r="F65" s="84">
        <f>F63+F64</f>
        <v>234810.94</v>
      </c>
    </row>
    <row r="66" spans="1:6" x14ac:dyDescent="0.35">
      <c r="A66" s="105" t="s">
        <v>269</v>
      </c>
      <c r="B66" s="106"/>
      <c r="C66" s="106"/>
      <c r="D66" s="106"/>
      <c r="E66" s="107"/>
      <c r="F66" s="84">
        <v>0</v>
      </c>
    </row>
    <row r="67" spans="1:6" x14ac:dyDescent="0.35">
      <c r="A67" s="105" t="s">
        <v>270</v>
      </c>
      <c r="B67" s="106"/>
      <c r="C67" s="106"/>
      <c r="D67" s="106"/>
      <c r="E67" s="107"/>
      <c r="F67" s="84">
        <f>F65+F66</f>
        <v>234810.94</v>
      </c>
    </row>
    <row r="68" spans="1:6" x14ac:dyDescent="0.35">
      <c r="A68" s="105" t="s">
        <v>271</v>
      </c>
      <c r="B68" s="106"/>
      <c r="C68" s="106"/>
      <c r="D68" s="106"/>
      <c r="E68" s="107"/>
      <c r="F68" s="84">
        <v>0</v>
      </c>
    </row>
  </sheetData>
  <sheetProtection algorithmName="SHA-512" hashValue="1UZNnbtG7/pi04l/CBa0mDqYMGXQlZKoSKaKq+1Xb+UssTU4Uzb4QTNZJ+KOUPa246REbywS4HQIdg8F4YgXog==" saltValue="HybwS6YWdmX3XgWSoglz1w==" spinCount="100000" sheet="1" objects="1" scenarios="1" selectLockedCells="1" selectUnlockedCells="1"/>
  <mergeCells count="29">
    <mergeCell ref="A68:E68"/>
    <mergeCell ref="A62:F62"/>
    <mergeCell ref="A63:E63"/>
    <mergeCell ref="A64:E64"/>
    <mergeCell ref="A65:E65"/>
    <mergeCell ref="A66:E66"/>
    <mergeCell ref="A67:E67"/>
    <mergeCell ref="A60:B60"/>
    <mergeCell ref="D60:E60"/>
    <mergeCell ref="A34:B34"/>
    <mergeCell ref="A35:B35"/>
    <mergeCell ref="A36:B36"/>
    <mergeCell ref="A38:F38"/>
    <mergeCell ref="A39:A40"/>
    <mergeCell ref="B39:B40"/>
    <mergeCell ref="C39:E39"/>
    <mergeCell ref="F39:F40"/>
    <mergeCell ref="A56:B56"/>
    <mergeCell ref="A59:B59"/>
    <mergeCell ref="D59:E59"/>
    <mergeCell ref="A58:E58"/>
    <mergeCell ref="C36:F36"/>
    <mergeCell ref="C35:F35"/>
    <mergeCell ref="A1:F1"/>
    <mergeCell ref="A2:F2"/>
    <mergeCell ref="A3:A4"/>
    <mergeCell ref="B3:B4"/>
    <mergeCell ref="C3:E3"/>
    <mergeCell ref="F3:F4"/>
  </mergeCells>
  <pageMargins left="0.7" right="0.7" top="0.75" bottom="0.75" header="0.3" footer="0.3"/>
  <pageSetup paperSize="9" scale="58" orientation="portrait" r:id="rId1"/>
  <headerFooter>
    <oddHeader>&amp;CPlan prihoda i rashoda s uključenim rezultatom poslovanja</oddHeader>
  </headerFooter>
  <ignoredErrors>
    <ignoredError sqref="E6:E20 E22:E30 F42 F54:F55 F10 F6:F7 F23 F15:F20 F24:F33 C23:C24 F50:F53 C44 C51:E53 E32:E33 C49:F49 C45:D45 F45 C46:D46 F46 C47:D47 F47 C48 F48 C55 E44:F44 C50:D50 F22" unlockedFormula="1"/>
    <ignoredError sqref="D44" formulaRange="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D09C-2C37-44D2-99C7-E05ED41F5CEE}">
  <dimension ref="A1:FL424"/>
  <sheetViews>
    <sheetView topLeftCell="D1" zoomScale="60" zoomScaleNormal="60" zoomScaleSheetLayoutView="61" zoomScalePageLayoutView="52" workbookViewId="0">
      <selection activeCell="AA170" sqref="AA170"/>
    </sheetView>
  </sheetViews>
  <sheetFormatPr defaultRowHeight="14.5" x14ac:dyDescent="0.35"/>
  <cols>
    <col min="1" max="1" width="9" bestFit="1" customWidth="1"/>
    <col min="2" max="2" width="49.81640625" bestFit="1" customWidth="1"/>
    <col min="3" max="3" width="10.26953125" bestFit="1" customWidth="1"/>
    <col min="4" max="5" width="13.453125" bestFit="1" customWidth="1"/>
    <col min="6" max="6" width="14.453125" bestFit="1" customWidth="1"/>
    <col min="7" max="7" width="9.36328125" bestFit="1" customWidth="1"/>
    <col min="8" max="8" width="11.453125" bestFit="1" customWidth="1"/>
    <col min="9" max="9" width="10.54296875" bestFit="1" customWidth="1"/>
    <col min="10" max="10" width="9.90625" bestFit="1" customWidth="1"/>
    <col min="11" max="11" width="7.08984375" bestFit="1" customWidth="1"/>
    <col min="12" max="12" width="20.90625" customWidth="1"/>
    <col min="13" max="13" width="19" bestFit="1" customWidth="1"/>
    <col min="14" max="14" width="8.81640625" bestFit="1" customWidth="1"/>
    <col min="15" max="15" width="18.90625" customWidth="1"/>
    <col min="16" max="16" width="17.7265625" customWidth="1"/>
    <col min="17" max="17" width="8.81640625" bestFit="1" customWidth="1"/>
    <col min="18" max="18" width="14.1796875" customWidth="1"/>
    <col min="19" max="19" width="17.6328125" customWidth="1"/>
    <col min="20" max="20" width="19.1796875" customWidth="1"/>
    <col min="21" max="21" width="17.6328125" customWidth="1"/>
    <col min="22" max="22" width="18.1796875" customWidth="1"/>
    <col min="23" max="23" width="17.453125" customWidth="1"/>
    <col min="24" max="24" width="21.453125" customWidth="1"/>
    <col min="25" max="25" width="17.54296875" customWidth="1"/>
    <col min="26" max="27" width="21.6328125" customWidth="1"/>
    <col min="29" max="29" width="11.54296875" bestFit="1" customWidth="1"/>
  </cols>
  <sheetData>
    <row r="1" spans="1:168" s="71" customFormat="1" ht="47" customHeight="1" x14ac:dyDescent="0.45">
      <c r="A1" s="117" t="s">
        <v>118</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9"/>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row>
    <row r="2" spans="1:168" s="71" customFormat="1" ht="18.5" x14ac:dyDescent="0.45">
      <c r="A2" s="112" t="s">
        <v>105</v>
      </c>
      <c r="B2" s="112" t="s">
        <v>104</v>
      </c>
      <c r="C2" s="112"/>
      <c r="D2" s="112"/>
      <c r="E2" s="112"/>
      <c r="F2" s="112"/>
      <c r="G2" s="112"/>
      <c r="H2" s="112"/>
      <c r="I2" s="112"/>
      <c r="J2" s="112"/>
      <c r="K2" s="112"/>
      <c r="L2" s="112"/>
      <c r="M2" s="112"/>
      <c r="N2" s="112"/>
      <c r="O2" s="112"/>
      <c r="P2" s="112"/>
      <c r="Q2" s="112"/>
      <c r="R2" s="112"/>
      <c r="S2" s="112"/>
      <c r="T2" s="112"/>
      <c r="U2" s="112"/>
      <c r="V2" s="112"/>
      <c r="W2" s="112"/>
      <c r="X2" s="122" t="s">
        <v>46</v>
      </c>
      <c r="Y2" s="122"/>
      <c r="Z2" s="122"/>
      <c r="AA2" s="111" t="s">
        <v>106</v>
      </c>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row>
    <row r="3" spans="1:168" s="71" customFormat="1" ht="18.5" x14ac:dyDescent="0.45">
      <c r="A3" s="112"/>
      <c r="B3" s="112"/>
      <c r="C3" s="112"/>
      <c r="D3" s="112"/>
      <c r="E3" s="112"/>
      <c r="F3" s="112"/>
      <c r="G3" s="112"/>
      <c r="H3" s="112"/>
      <c r="I3" s="112"/>
      <c r="J3" s="112"/>
      <c r="K3" s="112"/>
      <c r="L3" s="112"/>
      <c r="M3" s="112"/>
      <c r="N3" s="112"/>
      <c r="O3" s="112"/>
      <c r="P3" s="112"/>
      <c r="Q3" s="112"/>
      <c r="R3" s="112"/>
      <c r="S3" s="112"/>
      <c r="T3" s="112"/>
      <c r="U3" s="112"/>
      <c r="V3" s="112"/>
      <c r="W3" s="112"/>
      <c r="X3" s="122" t="s">
        <v>116</v>
      </c>
      <c r="Y3" s="122"/>
      <c r="Z3" s="18" t="s">
        <v>117</v>
      </c>
      <c r="AA3" s="11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row>
    <row r="4" spans="1:168" s="71" customFormat="1" ht="94.5" customHeight="1" x14ac:dyDescent="0.45">
      <c r="A4" s="112"/>
      <c r="B4" s="112"/>
      <c r="C4" s="112"/>
      <c r="D4" s="112"/>
      <c r="E4" s="112"/>
      <c r="F4" s="112"/>
      <c r="G4" s="112"/>
      <c r="H4" s="112"/>
      <c r="I4" s="112"/>
      <c r="J4" s="112"/>
      <c r="K4" s="112"/>
      <c r="L4" s="112"/>
      <c r="M4" s="112"/>
      <c r="N4" s="112"/>
      <c r="O4" s="112"/>
      <c r="P4" s="112"/>
      <c r="Q4" s="112"/>
      <c r="R4" s="112"/>
      <c r="S4" s="112"/>
      <c r="T4" s="112"/>
      <c r="U4" s="112"/>
      <c r="V4" s="112"/>
      <c r="W4" s="112"/>
      <c r="X4" s="19" t="s">
        <v>126</v>
      </c>
      <c r="Y4" s="19" t="s">
        <v>292</v>
      </c>
      <c r="Z4" s="19" t="s">
        <v>127</v>
      </c>
      <c r="AA4" s="11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row>
    <row r="5" spans="1:168" s="72" customFormat="1" ht="18.5" x14ac:dyDescent="0.45">
      <c r="A5" s="47">
        <v>1</v>
      </c>
      <c r="B5" s="113">
        <v>2</v>
      </c>
      <c r="C5" s="113"/>
      <c r="D5" s="113"/>
      <c r="E5" s="113"/>
      <c r="F5" s="113"/>
      <c r="G5" s="113"/>
      <c r="H5" s="113"/>
      <c r="I5" s="113"/>
      <c r="J5" s="113"/>
      <c r="K5" s="113"/>
      <c r="L5" s="113"/>
      <c r="M5" s="113"/>
      <c r="N5" s="113"/>
      <c r="O5" s="113"/>
      <c r="P5" s="113"/>
      <c r="Q5" s="113"/>
      <c r="R5" s="113"/>
      <c r="S5" s="113"/>
      <c r="T5" s="113"/>
      <c r="U5" s="113"/>
      <c r="V5" s="113"/>
      <c r="W5" s="113"/>
      <c r="X5" s="48">
        <v>3</v>
      </c>
      <c r="Y5" s="49">
        <v>4</v>
      </c>
      <c r="Z5" s="49">
        <v>5</v>
      </c>
      <c r="AA5" s="47">
        <v>6</v>
      </c>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row>
    <row r="6" spans="1:168" s="73" customFormat="1" ht="18.5" x14ac:dyDescent="0.45">
      <c r="A6" s="14" t="s">
        <v>107</v>
      </c>
      <c r="B6" s="114" t="s">
        <v>108</v>
      </c>
      <c r="C6" s="115"/>
      <c r="D6" s="115"/>
      <c r="E6" s="115"/>
      <c r="F6" s="115"/>
      <c r="G6" s="115"/>
      <c r="H6" s="115"/>
      <c r="I6" s="115"/>
      <c r="J6" s="115"/>
      <c r="K6" s="115"/>
      <c r="L6" s="115"/>
      <c r="M6" s="115"/>
      <c r="N6" s="115"/>
      <c r="O6" s="115"/>
      <c r="P6" s="115"/>
      <c r="Q6" s="115"/>
      <c r="R6" s="115"/>
      <c r="S6" s="115"/>
      <c r="T6" s="115"/>
      <c r="U6" s="115"/>
      <c r="V6" s="115"/>
      <c r="W6" s="116"/>
      <c r="X6" s="14"/>
      <c r="Y6" s="50"/>
      <c r="Z6" s="50"/>
      <c r="AA6" s="14"/>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row>
    <row r="7" spans="1:168" s="74" customFormat="1" ht="18.5" x14ac:dyDescent="0.35">
      <c r="A7" s="15" t="s">
        <v>102</v>
      </c>
      <c r="B7" s="120" t="s">
        <v>319</v>
      </c>
      <c r="C7" s="120"/>
      <c r="D7" s="120"/>
      <c r="E7" s="120"/>
      <c r="F7" s="120"/>
      <c r="G7" s="120"/>
      <c r="H7" s="120"/>
      <c r="I7" s="120"/>
      <c r="J7" s="120"/>
      <c r="K7" s="120"/>
      <c r="L7" s="120"/>
      <c r="M7" s="120"/>
      <c r="N7" s="120"/>
      <c r="O7" s="120"/>
      <c r="P7" s="120"/>
      <c r="Q7" s="120"/>
      <c r="R7" s="120"/>
      <c r="S7" s="120"/>
      <c r="T7" s="120"/>
      <c r="U7" s="120"/>
      <c r="V7" s="120"/>
      <c r="W7" s="120"/>
      <c r="X7" s="16">
        <f>X34+X62+X85+X104+X118+X126+X137+X144+X148+X131+X153+X173+X190+X209</f>
        <v>824669.99</v>
      </c>
      <c r="Y7" s="17">
        <v>0</v>
      </c>
      <c r="Z7" s="17">
        <f>Z34+Z62+Z85+Z104+Z118+Z126+Z137+Z144+Z131+Z153+Z152</f>
        <v>264050</v>
      </c>
      <c r="AA7" s="16">
        <f>X7+Y7+Z7</f>
        <v>1088719.99</v>
      </c>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row>
    <row r="8" spans="1:168" s="75" customFormat="1" ht="15.5" x14ac:dyDescent="0.35">
      <c r="A8" s="20"/>
      <c r="B8" s="121" t="s">
        <v>110</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row>
    <row r="9" spans="1:168" s="2" customFormat="1" ht="46.5" x14ac:dyDescent="0.35">
      <c r="A9" s="37" t="s">
        <v>52</v>
      </c>
      <c r="B9" s="5" t="s">
        <v>0</v>
      </c>
      <c r="C9" s="5" t="s">
        <v>1</v>
      </c>
      <c r="D9" s="5" t="s">
        <v>2</v>
      </c>
      <c r="E9" s="5" t="s">
        <v>3</v>
      </c>
      <c r="F9" s="5" t="s">
        <v>4</v>
      </c>
      <c r="G9" s="5" t="s">
        <v>5</v>
      </c>
      <c r="H9" s="5" t="s">
        <v>6</v>
      </c>
      <c r="I9" s="5" t="s">
        <v>7</v>
      </c>
      <c r="J9" s="7" t="s">
        <v>8</v>
      </c>
      <c r="K9" s="7" t="s">
        <v>49</v>
      </c>
      <c r="L9" s="7" t="s">
        <v>9</v>
      </c>
      <c r="M9" s="5" t="s">
        <v>10</v>
      </c>
      <c r="N9" s="7" t="s">
        <v>11</v>
      </c>
      <c r="O9" s="7" t="s">
        <v>121</v>
      </c>
      <c r="P9" s="7" t="s">
        <v>12</v>
      </c>
      <c r="Q9" s="7" t="s">
        <v>13</v>
      </c>
      <c r="R9" s="7" t="s">
        <v>14</v>
      </c>
      <c r="S9" s="7" t="s">
        <v>15</v>
      </c>
      <c r="T9" s="7" t="s">
        <v>122</v>
      </c>
      <c r="U9" s="7" t="s">
        <v>16</v>
      </c>
      <c r="V9" s="7" t="s">
        <v>123</v>
      </c>
      <c r="W9" s="7" t="s">
        <v>124</v>
      </c>
      <c r="X9" s="5" t="s">
        <v>47</v>
      </c>
      <c r="Y9" s="7" t="s">
        <v>103</v>
      </c>
      <c r="Z9" s="7" t="s">
        <v>48</v>
      </c>
      <c r="AA9" s="7" t="s">
        <v>109</v>
      </c>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row>
    <row r="10" spans="1:168" s="3" customFormat="1" ht="15.5" x14ac:dyDescent="0.35">
      <c r="A10" s="5">
        <v>1</v>
      </c>
      <c r="B10" s="58" t="s">
        <v>296</v>
      </c>
      <c r="C10" s="61" t="s">
        <v>17</v>
      </c>
      <c r="D10" s="61" t="s">
        <v>18</v>
      </c>
      <c r="E10" s="62">
        <v>45335</v>
      </c>
      <c r="F10" s="62">
        <v>45341</v>
      </c>
      <c r="G10" s="63">
        <v>2</v>
      </c>
      <c r="H10" s="63">
        <v>2</v>
      </c>
      <c r="I10" s="63">
        <v>1</v>
      </c>
      <c r="J10" s="63">
        <v>1</v>
      </c>
      <c r="K10" s="64">
        <f t="shared" ref="K10:K33" si="0">SUM(G10:J10)</f>
        <v>6</v>
      </c>
      <c r="L10" s="65">
        <v>250</v>
      </c>
      <c r="M10" s="66" t="s">
        <v>19</v>
      </c>
      <c r="N10" s="64">
        <f t="shared" ref="N10:N15" si="1">F10-E10</f>
        <v>6</v>
      </c>
      <c r="O10" s="67">
        <f t="shared" ref="O10:O33" si="2">K10*L10*N10</f>
        <v>9000</v>
      </c>
      <c r="P10" s="65"/>
      <c r="Q10" s="63">
        <v>800</v>
      </c>
      <c r="R10" s="67">
        <v>0.5</v>
      </c>
      <c r="S10" s="67">
        <f t="shared" ref="S10:S33" si="3">Q10*R10</f>
        <v>400</v>
      </c>
      <c r="T10" s="67">
        <f>(P10*K10)+S10</f>
        <v>400</v>
      </c>
      <c r="U10" s="65">
        <v>600</v>
      </c>
      <c r="V10" s="68">
        <f t="shared" ref="V10:V33" si="4">U10*K10</f>
        <v>3600</v>
      </c>
      <c r="W10" s="65">
        <v>0</v>
      </c>
      <c r="X10" s="67">
        <v>12000</v>
      </c>
      <c r="Y10" s="67">
        <v>0</v>
      </c>
      <c r="Z10" s="67">
        <f>AA10-X10</f>
        <v>1000</v>
      </c>
      <c r="AA10" s="60">
        <f>O10+T10+V10+W10</f>
        <v>13000</v>
      </c>
    </row>
    <row r="11" spans="1:168" s="3" customFormat="1" ht="15.5" x14ac:dyDescent="0.35">
      <c r="A11" s="5">
        <v>2</v>
      </c>
      <c r="B11" s="58" t="s">
        <v>296</v>
      </c>
      <c r="C11" s="61" t="s">
        <v>17</v>
      </c>
      <c r="D11" s="61" t="s">
        <v>20</v>
      </c>
      <c r="E11" s="62">
        <v>45342</v>
      </c>
      <c r="F11" s="62">
        <v>45348</v>
      </c>
      <c r="G11" s="63">
        <v>2</v>
      </c>
      <c r="H11" s="63">
        <v>2</v>
      </c>
      <c r="I11" s="63">
        <v>1</v>
      </c>
      <c r="J11" s="63">
        <v>1</v>
      </c>
      <c r="K11" s="64">
        <f t="shared" si="0"/>
        <v>6</v>
      </c>
      <c r="L11" s="65">
        <v>170</v>
      </c>
      <c r="M11" s="66" t="s">
        <v>21</v>
      </c>
      <c r="N11" s="64">
        <f t="shared" si="1"/>
        <v>6</v>
      </c>
      <c r="O11" s="67">
        <f t="shared" si="2"/>
        <v>6120</v>
      </c>
      <c r="P11" s="65">
        <v>70</v>
      </c>
      <c r="Q11" s="63">
        <v>800</v>
      </c>
      <c r="R11" s="67">
        <v>0.5</v>
      </c>
      <c r="S11" s="67">
        <f t="shared" si="3"/>
        <v>400</v>
      </c>
      <c r="T11" s="67">
        <f>(P11*K11)+(S11*6)</f>
        <v>2820</v>
      </c>
      <c r="U11" s="65">
        <v>250</v>
      </c>
      <c r="V11" s="68">
        <f t="shared" si="4"/>
        <v>1500</v>
      </c>
      <c r="W11" s="65">
        <v>0</v>
      </c>
      <c r="X11" s="67">
        <v>9500</v>
      </c>
      <c r="Y11" s="67">
        <v>0</v>
      </c>
      <c r="Z11" s="67">
        <f t="shared" ref="Z11:Z33" si="5">AA11-X11</f>
        <v>940</v>
      </c>
      <c r="AA11" s="60">
        <f t="shared" ref="AA11:AA33" si="6">O11+T11+V11+W11</f>
        <v>10440</v>
      </c>
    </row>
    <row r="12" spans="1:168" s="3" customFormat="1" ht="15.5" x14ac:dyDescent="0.35">
      <c r="A12" s="5">
        <v>3</v>
      </c>
      <c r="B12" s="58" t="s">
        <v>296</v>
      </c>
      <c r="C12" s="61" t="s">
        <v>17</v>
      </c>
      <c r="D12" s="61" t="s">
        <v>22</v>
      </c>
      <c r="E12" s="62">
        <v>45348</v>
      </c>
      <c r="F12" s="62">
        <v>45354</v>
      </c>
      <c r="G12" s="63">
        <v>2</v>
      </c>
      <c r="H12" s="63">
        <v>2</v>
      </c>
      <c r="I12" s="63">
        <v>1</v>
      </c>
      <c r="J12" s="63">
        <v>1</v>
      </c>
      <c r="K12" s="64">
        <f t="shared" si="0"/>
        <v>6</v>
      </c>
      <c r="L12" s="65">
        <v>320</v>
      </c>
      <c r="M12" s="66" t="s">
        <v>19</v>
      </c>
      <c r="N12" s="64">
        <f t="shared" si="1"/>
        <v>6</v>
      </c>
      <c r="O12" s="67">
        <f t="shared" si="2"/>
        <v>11520</v>
      </c>
      <c r="P12" s="65">
        <v>0</v>
      </c>
      <c r="Q12" s="63">
        <v>800</v>
      </c>
      <c r="R12" s="67">
        <v>0.5</v>
      </c>
      <c r="S12" s="67">
        <f t="shared" si="3"/>
        <v>400</v>
      </c>
      <c r="T12" s="67">
        <f t="shared" ref="T12:T33" si="7">(P12*K12)+S12</f>
        <v>400</v>
      </c>
      <c r="U12" s="65">
        <v>570</v>
      </c>
      <c r="V12" s="68">
        <f t="shared" si="4"/>
        <v>3420</v>
      </c>
      <c r="W12" s="65">
        <v>0</v>
      </c>
      <c r="X12" s="67">
        <v>15000</v>
      </c>
      <c r="Y12" s="67">
        <v>0</v>
      </c>
      <c r="Z12" s="67">
        <f t="shared" si="5"/>
        <v>340</v>
      </c>
      <c r="AA12" s="60">
        <f t="shared" si="6"/>
        <v>15340</v>
      </c>
    </row>
    <row r="13" spans="1:168" s="3" customFormat="1" ht="15.5" x14ac:dyDescent="0.35">
      <c r="A13" s="5">
        <v>4</v>
      </c>
      <c r="B13" s="58" t="s">
        <v>296</v>
      </c>
      <c r="C13" s="61" t="s">
        <v>17</v>
      </c>
      <c r="D13" s="61" t="s">
        <v>23</v>
      </c>
      <c r="E13" s="62">
        <v>45356</v>
      </c>
      <c r="F13" s="62">
        <v>45362</v>
      </c>
      <c r="G13" s="63">
        <v>4</v>
      </c>
      <c r="H13" s="63">
        <v>2</v>
      </c>
      <c r="I13" s="63">
        <v>1</v>
      </c>
      <c r="J13" s="63">
        <v>1</v>
      </c>
      <c r="K13" s="64">
        <f t="shared" si="0"/>
        <v>8</v>
      </c>
      <c r="L13" s="65">
        <v>185</v>
      </c>
      <c r="M13" s="66" t="s">
        <v>19</v>
      </c>
      <c r="N13" s="64">
        <f t="shared" si="1"/>
        <v>6</v>
      </c>
      <c r="O13" s="67">
        <f t="shared" si="2"/>
        <v>8880</v>
      </c>
      <c r="P13" s="65">
        <v>0</v>
      </c>
      <c r="Q13" s="63">
        <v>800</v>
      </c>
      <c r="R13" s="67">
        <v>0.5</v>
      </c>
      <c r="S13" s="67">
        <f t="shared" si="3"/>
        <v>400</v>
      </c>
      <c r="T13" s="67">
        <f t="shared" si="7"/>
        <v>400</v>
      </c>
      <c r="U13" s="65">
        <v>750</v>
      </c>
      <c r="V13" s="68">
        <f t="shared" si="4"/>
        <v>6000</v>
      </c>
      <c r="W13" s="65">
        <v>0</v>
      </c>
      <c r="X13" s="67">
        <v>15000</v>
      </c>
      <c r="Y13" s="67">
        <v>0</v>
      </c>
      <c r="Z13" s="67">
        <f t="shared" si="5"/>
        <v>280</v>
      </c>
      <c r="AA13" s="60">
        <f t="shared" si="6"/>
        <v>15280</v>
      </c>
    </row>
    <row r="14" spans="1:168" s="3" customFormat="1" ht="15.5" x14ac:dyDescent="0.35">
      <c r="A14" s="5">
        <v>5</v>
      </c>
      <c r="B14" s="58" t="s">
        <v>303</v>
      </c>
      <c r="C14" s="61" t="s">
        <v>17</v>
      </c>
      <c r="D14" s="61" t="s">
        <v>24</v>
      </c>
      <c r="E14" s="62">
        <v>45378</v>
      </c>
      <c r="F14" s="62">
        <v>45383</v>
      </c>
      <c r="G14" s="63">
        <v>2</v>
      </c>
      <c r="H14" s="63">
        <v>2</v>
      </c>
      <c r="I14" s="63">
        <v>1</v>
      </c>
      <c r="J14" s="63">
        <v>1</v>
      </c>
      <c r="K14" s="64">
        <f t="shared" si="0"/>
        <v>6</v>
      </c>
      <c r="L14" s="65">
        <v>200</v>
      </c>
      <c r="M14" s="66" t="s">
        <v>19</v>
      </c>
      <c r="N14" s="64">
        <f t="shared" si="1"/>
        <v>5</v>
      </c>
      <c r="O14" s="67">
        <f t="shared" si="2"/>
        <v>6000</v>
      </c>
      <c r="P14" s="65">
        <v>0</v>
      </c>
      <c r="Q14" s="63">
        <v>600</v>
      </c>
      <c r="R14" s="67">
        <v>0.5</v>
      </c>
      <c r="S14" s="67">
        <f t="shared" si="3"/>
        <v>300</v>
      </c>
      <c r="T14" s="67">
        <f t="shared" si="7"/>
        <v>300</v>
      </c>
      <c r="U14" s="65">
        <v>630</v>
      </c>
      <c r="V14" s="68">
        <f t="shared" si="4"/>
        <v>3780</v>
      </c>
      <c r="W14" s="65">
        <v>0</v>
      </c>
      <c r="X14" s="67">
        <v>10000</v>
      </c>
      <c r="Y14" s="67">
        <v>0</v>
      </c>
      <c r="Z14" s="67">
        <f t="shared" si="5"/>
        <v>80</v>
      </c>
      <c r="AA14" s="60">
        <f t="shared" si="6"/>
        <v>10080</v>
      </c>
    </row>
    <row r="15" spans="1:168" s="3" customFormat="1" ht="15.5" x14ac:dyDescent="0.35">
      <c r="A15" s="5">
        <v>6</v>
      </c>
      <c r="B15" s="58" t="s">
        <v>303</v>
      </c>
      <c r="C15" s="61" t="s">
        <v>17</v>
      </c>
      <c r="D15" s="61" t="s">
        <v>25</v>
      </c>
      <c r="E15" s="62">
        <v>45384</v>
      </c>
      <c r="F15" s="62">
        <v>45390</v>
      </c>
      <c r="G15" s="63">
        <v>4</v>
      </c>
      <c r="H15" s="63">
        <v>4</v>
      </c>
      <c r="I15" s="63">
        <v>2</v>
      </c>
      <c r="J15" s="63">
        <v>0</v>
      </c>
      <c r="K15" s="64">
        <f t="shared" si="0"/>
        <v>10</v>
      </c>
      <c r="L15" s="65">
        <v>220</v>
      </c>
      <c r="M15" s="66" t="s">
        <v>19</v>
      </c>
      <c r="N15" s="64">
        <f t="shared" si="1"/>
        <v>6</v>
      </c>
      <c r="O15" s="67">
        <f t="shared" si="2"/>
        <v>13200</v>
      </c>
      <c r="P15" s="65">
        <v>0</v>
      </c>
      <c r="Q15" s="63">
        <v>800</v>
      </c>
      <c r="R15" s="67">
        <v>0.5</v>
      </c>
      <c r="S15" s="67">
        <f t="shared" si="3"/>
        <v>400</v>
      </c>
      <c r="T15" s="67">
        <f t="shared" si="7"/>
        <v>400</v>
      </c>
      <c r="U15" s="65">
        <v>0</v>
      </c>
      <c r="V15" s="68">
        <f t="shared" si="4"/>
        <v>0</v>
      </c>
      <c r="W15" s="65">
        <v>0</v>
      </c>
      <c r="X15" s="67">
        <v>12810</v>
      </c>
      <c r="Y15" s="67">
        <v>0</v>
      </c>
      <c r="Z15" s="67">
        <f t="shared" si="5"/>
        <v>790</v>
      </c>
      <c r="AA15" s="60">
        <f t="shared" si="6"/>
        <v>13600</v>
      </c>
    </row>
    <row r="16" spans="1:168" s="3" customFormat="1" ht="15.5" x14ac:dyDescent="0.35">
      <c r="A16" s="5">
        <v>7</v>
      </c>
      <c r="B16" s="58" t="s">
        <v>35</v>
      </c>
      <c r="C16" s="61" t="s">
        <v>17</v>
      </c>
      <c r="D16" s="61" t="s">
        <v>26</v>
      </c>
      <c r="E16" s="62">
        <v>45402</v>
      </c>
      <c r="F16" s="62">
        <v>45411</v>
      </c>
      <c r="G16" s="63">
        <v>5</v>
      </c>
      <c r="H16" s="63">
        <v>3</v>
      </c>
      <c r="I16" s="63">
        <v>2</v>
      </c>
      <c r="J16" s="63">
        <v>1</v>
      </c>
      <c r="K16" s="64">
        <f t="shared" si="0"/>
        <v>11</v>
      </c>
      <c r="L16" s="65">
        <v>220</v>
      </c>
      <c r="M16" s="66" t="s">
        <v>21</v>
      </c>
      <c r="N16" s="64">
        <v>7</v>
      </c>
      <c r="O16" s="67">
        <f t="shared" si="2"/>
        <v>16940</v>
      </c>
      <c r="P16" s="65">
        <v>70</v>
      </c>
      <c r="Q16" s="63">
        <v>4400</v>
      </c>
      <c r="R16" s="67">
        <v>0.5</v>
      </c>
      <c r="S16" s="67">
        <f t="shared" si="3"/>
        <v>2200</v>
      </c>
      <c r="T16" s="67">
        <f t="shared" si="7"/>
        <v>2970</v>
      </c>
      <c r="U16" s="65">
        <v>0</v>
      </c>
      <c r="V16" s="68">
        <f t="shared" si="4"/>
        <v>0</v>
      </c>
      <c r="W16" s="65">
        <v>0</v>
      </c>
      <c r="X16" s="67">
        <v>18500</v>
      </c>
      <c r="Y16" s="67">
        <v>0</v>
      </c>
      <c r="Z16" s="67">
        <f t="shared" si="5"/>
        <v>1410</v>
      </c>
      <c r="AA16" s="60">
        <f t="shared" si="6"/>
        <v>19910</v>
      </c>
    </row>
    <row r="17" spans="1:27" s="3" customFormat="1" ht="15.5" x14ac:dyDescent="0.35">
      <c r="A17" s="5">
        <v>8</v>
      </c>
      <c r="B17" s="58" t="s">
        <v>303</v>
      </c>
      <c r="C17" s="61" t="s">
        <v>17</v>
      </c>
      <c r="D17" s="61" t="s">
        <v>27</v>
      </c>
      <c r="E17" s="62">
        <v>45433</v>
      </c>
      <c r="F17" s="62">
        <v>45439</v>
      </c>
      <c r="G17" s="63">
        <v>2</v>
      </c>
      <c r="H17" s="63">
        <v>2</v>
      </c>
      <c r="I17" s="63">
        <v>1</v>
      </c>
      <c r="J17" s="63">
        <v>0</v>
      </c>
      <c r="K17" s="64">
        <f t="shared" si="0"/>
        <v>5</v>
      </c>
      <c r="L17" s="65">
        <v>150</v>
      </c>
      <c r="M17" s="66" t="s">
        <v>28</v>
      </c>
      <c r="N17" s="64">
        <f t="shared" ref="N17:N33" si="8">F17-E17</f>
        <v>6</v>
      </c>
      <c r="O17" s="67">
        <f t="shared" si="2"/>
        <v>4500</v>
      </c>
      <c r="P17" s="65">
        <v>40</v>
      </c>
      <c r="Q17" s="63">
        <v>0</v>
      </c>
      <c r="R17" s="67">
        <v>0.5</v>
      </c>
      <c r="S17" s="67">
        <f t="shared" si="3"/>
        <v>0</v>
      </c>
      <c r="T17" s="67">
        <f t="shared" si="7"/>
        <v>200</v>
      </c>
      <c r="U17" s="65">
        <v>560</v>
      </c>
      <c r="V17" s="68">
        <f t="shared" si="4"/>
        <v>2800</v>
      </c>
      <c r="W17" s="65">
        <v>0</v>
      </c>
      <c r="X17" s="67">
        <v>7500</v>
      </c>
      <c r="Y17" s="67">
        <v>0</v>
      </c>
      <c r="Z17" s="67">
        <f t="shared" si="5"/>
        <v>0</v>
      </c>
      <c r="AA17" s="60">
        <f t="shared" si="6"/>
        <v>7500</v>
      </c>
    </row>
    <row r="18" spans="1:27" s="3" customFormat="1" ht="15.5" x14ac:dyDescent="0.35">
      <c r="A18" s="5">
        <v>9</v>
      </c>
      <c r="B18" s="58" t="s">
        <v>303</v>
      </c>
      <c r="C18" s="61" t="s">
        <v>17</v>
      </c>
      <c r="D18" s="61" t="s">
        <v>29</v>
      </c>
      <c r="E18" s="62">
        <v>45440</v>
      </c>
      <c r="F18" s="62">
        <v>45446</v>
      </c>
      <c r="G18" s="63">
        <v>5</v>
      </c>
      <c r="H18" s="63">
        <v>2</v>
      </c>
      <c r="I18" s="63">
        <v>1</v>
      </c>
      <c r="J18" s="63">
        <v>0</v>
      </c>
      <c r="K18" s="64">
        <f t="shared" si="0"/>
        <v>8</v>
      </c>
      <c r="L18" s="65">
        <v>180</v>
      </c>
      <c r="M18" s="66" t="s">
        <v>21</v>
      </c>
      <c r="N18" s="64">
        <f t="shared" si="8"/>
        <v>6</v>
      </c>
      <c r="O18" s="67">
        <f t="shared" si="2"/>
        <v>8640</v>
      </c>
      <c r="P18" s="65">
        <v>50</v>
      </c>
      <c r="Q18" s="63">
        <v>2500</v>
      </c>
      <c r="R18" s="67">
        <v>0.5</v>
      </c>
      <c r="S18" s="67">
        <f t="shared" si="3"/>
        <v>1250</v>
      </c>
      <c r="T18" s="67">
        <f t="shared" si="7"/>
        <v>1650</v>
      </c>
      <c r="U18" s="65">
        <v>0</v>
      </c>
      <c r="V18" s="68">
        <f t="shared" si="4"/>
        <v>0</v>
      </c>
      <c r="W18" s="65">
        <v>0</v>
      </c>
      <c r="X18" s="67">
        <v>10000</v>
      </c>
      <c r="Y18" s="67">
        <v>0</v>
      </c>
      <c r="Z18" s="67">
        <f t="shared" si="5"/>
        <v>290</v>
      </c>
      <c r="AA18" s="60">
        <f t="shared" si="6"/>
        <v>10290</v>
      </c>
    </row>
    <row r="19" spans="1:27" s="3" customFormat="1" ht="15.5" x14ac:dyDescent="0.35">
      <c r="A19" s="5">
        <v>10</v>
      </c>
      <c r="B19" s="58" t="s">
        <v>303</v>
      </c>
      <c r="C19" s="61" t="s">
        <v>17</v>
      </c>
      <c r="D19" s="61" t="s">
        <v>30</v>
      </c>
      <c r="E19" s="62">
        <v>45567</v>
      </c>
      <c r="F19" s="62">
        <v>45572</v>
      </c>
      <c r="G19" s="63">
        <v>3</v>
      </c>
      <c r="H19" s="63">
        <v>2</v>
      </c>
      <c r="I19" s="63">
        <v>2</v>
      </c>
      <c r="J19" s="63">
        <v>1</v>
      </c>
      <c r="K19" s="64">
        <f t="shared" si="0"/>
        <v>8</v>
      </c>
      <c r="L19" s="65">
        <v>180</v>
      </c>
      <c r="M19" s="66" t="s">
        <v>19</v>
      </c>
      <c r="N19" s="64">
        <f t="shared" si="8"/>
        <v>5</v>
      </c>
      <c r="O19" s="67">
        <f t="shared" si="2"/>
        <v>7200</v>
      </c>
      <c r="P19" s="65">
        <v>0</v>
      </c>
      <c r="Q19" s="63">
        <v>3500</v>
      </c>
      <c r="R19" s="67">
        <v>0.5</v>
      </c>
      <c r="S19" s="67">
        <f t="shared" si="3"/>
        <v>1750</v>
      </c>
      <c r="T19" s="67">
        <f t="shared" si="7"/>
        <v>1750</v>
      </c>
      <c r="U19" s="65">
        <v>0</v>
      </c>
      <c r="V19" s="68">
        <f t="shared" si="4"/>
        <v>0</v>
      </c>
      <c r="W19" s="65">
        <v>0</v>
      </c>
      <c r="X19" s="67">
        <v>8500</v>
      </c>
      <c r="Y19" s="67">
        <v>0</v>
      </c>
      <c r="Z19" s="67">
        <f t="shared" si="5"/>
        <v>450</v>
      </c>
      <c r="AA19" s="60">
        <f t="shared" si="6"/>
        <v>8950</v>
      </c>
    </row>
    <row r="20" spans="1:27" s="3" customFormat="1" ht="15.5" x14ac:dyDescent="0.35">
      <c r="A20" s="5">
        <v>11</v>
      </c>
      <c r="B20" s="58" t="s">
        <v>309</v>
      </c>
      <c r="C20" s="61" t="s">
        <v>31</v>
      </c>
      <c r="D20" s="61" t="s">
        <v>32</v>
      </c>
      <c r="E20" s="62">
        <v>45372</v>
      </c>
      <c r="F20" s="62">
        <v>45375</v>
      </c>
      <c r="G20" s="63">
        <v>4</v>
      </c>
      <c r="H20" s="63">
        <v>3</v>
      </c>
      <c r="I20" s="63">
        <v>1</v>
      </c>
      <c r="J20" s="63">
        <v>1</v>
      </c>
      <c r="K20" s="64">
        <f t="shared" si="0"/>
        <v>9</v>
      </c>
      <c r="L20" s="65">
        <v>70</v>
      </c>
      <c r="M20" s="66" t="s">
        <v>21</v>
      </c>
      <c r="N20" s="64">
        <f t="shared" si="8"/>
        <v>3</v>
      </c>
      <c r="O20" s="67">
        <f t="shared" si="2"/>
        <v>1890</v>
      </c>
      <c r="P20" s="65">
        <v>40</v>
      </c>
      <c r="Q20" s="63">
        <v>300</v>
      </c>
      <c r="R20" s="67">
        <v>0.5</v>
      </c>
      <c r="S20" s="67">
        <f t="shared" si="3"/>
        <v>150</v>
      </c>
      <c r="T20" s="67">
        <f t="shared" si="7"/>
        <v>510</v>
      </c>
      <c r="U20" s="65">
        <v>350</v>
      </c>
      <c r="V20" s="68">
        <f t="shared" si="4"/>
        <v>3150</v>
      </c>
      <c r="W20" s="65">
        <v>0</v>
      </c>
      <c r="X20" s="67">
        <v>5000</v>
      </c>
      <c r="Y20" s="67">
        <v>0</v>
      </c>
      <c r="Z20" s="67">
        <f t="shared" si="5"/>
        <v>550</v>
      </c>
      <c r="AA20" s="60">
        <f t="shared" si="6"/>
        <v>5550</v>
      </c>
    </row>
    <row r="21" spans="1:27" s="3" customFormat="1" ht="15.5" x14ac:dyDescent="0.35">
      <c r="A21" s="5">
        <v>12</v>
      </c>
      <c r="B21" s="58" t="s">
        <v>309</v>
      </c>
      <c r="C21" s="61" t="s">
        <v>33</v>
      </c>
      <c r="D21" s="61" t="s">
        <v>32</v>
      </c>
      <c r="E21" s="62">
        <v>45372</v>
      </c>
      <c r="F21" s="62">
        <v>45375</v>
      </c>
      <c r="G21" s="63">
        <v>4</v>
      </c>
      <c r="H21" s="63">
        <v>2</v>
      </c>
      <c r="I21" s="63">
        <v>1</v>
      </c>
      <c r="J21" s="63">
        <v>1</v>
      </c>
      <c r="K21" s="64">
        <f t="shared" si="0"/>
        <v>8</v>
      </c>
      <c r="L21" s="65">
        <v>70</v>
      </c>
      <c r="M21" s="66" t="s">
        <v>21</v>
      </c>
      <c r="N21" s="64">
        <f t="shared" si="8"/>
        <v>3</v>
      </c>
      <c r="O21" s="67">
        <f t="shared" si="2"/>
        <v>1680</v>
      </c>
      <c r="P21" s="65">
        <v>40</v>
      </c>
      <c r="Q21" s="63">
        <v>0</v>
      </c>
      <c r="R21" s="67">
        <v>0.5</v>
      </c>
      <c r="S21" s="67">
        <f t="shared" si="3"/>
        <v>0</v>
      </c>
      <c r="T21" s="67">
        <f t="shared" si="7"/>
        <v>320</v>
      </c>
      <c r="U21" s="65">
        <v>350</v>
      </c>
      <c r="V21" s="68">
        <f t="shared" si="4"/>
        <v>2800</v>
      </c>
      <c r="W21" s="65">
        <v>0</v>
      </c>
      <c r="X21" s="67">
        <v>2000</v>
      </c>
      <c r="Y21" s="67">
        <v>0</v>
      </c>
      <c r="Z21" s="67">
        <f t="shared" si="5"/>
        <v>2800</v>
      </c>
      <c r="AA21" s="60">
        <f t="shared" si="6"/>
        <v>4800</v>
      </c>
    </row>
    <row r="22" spans="1:27" s="3" customFormat="1" ht="15.5" x14ac:dyDescent="0.35">
      <c r="A22" s="5">
        <v>13</v>
      </c>
      <c r="B22" s="58" t="s">
        <v>310</v>
      </c>
      <c r="C22" s="61" t="s">
        <v>31</v>
      </c>
      <c r="D22" s="61" t="s">
        <v>34</v>
      </c>
      <c r="E22" s="62">
        <v>45387</v>
      </c>
      <c r="F22" s="62">
        <v>45389</v>
      </c>
      <c r="G22" s="63">
        <v>5</v>
      </c>
      <c r="H22" s="63">
        <v>3</v>
      </c>
      <c r="I22" s="63">
        <v>1</v>
      </c>
      <c r="J22" s="63">
        <v>0</v>
      </c>
      <c r="K22" s="64">
        <f t="shared" si="0"/>
        <v>9</v>
      </c>
      <c r="L22" s="65">
        <v>100</v>
      </c>
      <c r="M22" s="66" t="s">
        <v>19</v>
      </c>
      <c r="N22" s="64">
        <f t="shared" si="8"/>
        <v>2</v>
      </c>
      <c r="O22" s="67">
        <f t="shared" si="2"/>
        <v>1800</v>
      </c>
      <c r="P22" s="65">
        <v>0</v>
      </c>
      <c r="Q22" s="63">
        <v>1500</v>
      </c>
      <c r="R22" s="67">
        <v>0.5</v>
      </c>
      <c r="S22" s="67">
        <f t="shared" si="3"/>
        <v>750</v>
      </c>
      <c r="T22" s="67">
        <f t="shared" si="7"/>
        <v>750</v>
      </c>
      <c r="U22" s="65">
        <v>0</v>
      </c>
      <c r="V22" s="68">
        <f t="shared" si="4"/>
        <v>0</v>
      </c>
      <c r="W22" s="65">
        <v>300</v>
      </c>
      <c r="X22" s="67">
        <v>2700</v>
      </c>
      <c r="Y22" s="67">
        <v>0</v>
      </c>
      <c r="Z22" s="67">
        <f t="shared" si="5"/>
        <v>150</v>
      </c>
      <c r="AA22" s="60">
        <f t="shared" si="6"/>
        <v>2850</v>
      </c>
    </row>
    <row r="23" spans="1:27" s="3" customFormat="1" ht="15.5" x14ac:dyDescent="0.35">
      <c r="A23" s="5">
        <v>14</v>
      </c>
      <c r="B23" s="58" t="s">
        <v>35</v>
      </c>
      <c r="C23" s="61" t="s">
        <v>31</v>
      </c>
      <c r="D23" s="61" t="s">
        <v>36</v>
      </c>
      <c r="E23" s="62">
        <v>45404</v>
      </c>
      <c r="F23" s="62">
        <v>45410</v>
      </c>
      <c r="G23" s="63">
        <v>5</v>
      </c>
      <c r="H23" s="63">
        <v>4</v>
      </c>
      <c r="I23" s="63">
        <v>1</v>
      </c>
      <c r="J23" s="63">
        <v>1</v>
      </c>
      <c r="K23" s="64">
        <f t="shared" si="0"/>
        <v>11</v>
      </c>
      <c r="L23" s="65">
        <v>200</v>
      </c>
      <c r="M23" s="66" t="s">
        <v>19</v>
      </c>
      <c r="N23" s="64">
        <f t="shared" si="8"/>
        <v>6</v>
      </c>
      <c r="O23" s="67">
        <f t="shared" si="2"/>
        <v>13200</v>
      </c>
      <c r="P23" s="65">
        <v>0</v>
      </c>
      <c r="Q23" s="63">
        <v>1500</v>
      </c>
      <c r="R23" s="67">
        <v>0.5</v>
      </c>
      <c r="S23" s="67">
        <f t="shared" si="3"/>
        <v>750</v>
      </c>
      <c r="T23" s="67">
        <f t="shared" si="7"/>
        <v>750</v>
      </c>
      <c r="U23" s="65">
        <v>0</v>
      </c>
      <c r="V23" s="68">
        <f t="shared" si="4"/>
        <v>0</v>
      </c>
      <c r="W23" s="65">
        <v>700</v>
      </c>
      <c r="X23" s="67">
        <v>13600</v>
      </c>
      <c r="Y23" s="67">
        <v>0</v>
      </c>
      <c r="Z23" s="67">
        <f t="shared" si="5"/>
        <v>1050</v>
      </c>
      <c r="AA23" s="60">
        <f t="shared" si="6"/>
        <v>14650</v>
      </c>
    </row>
    <row r="24" spans="1:27" s="3" customFormat="1" ht="15.5" x14ac:dyDescent="0.35">
      <c r="A24" s="5">
        <v>15</v>
      </c>
      <c r="B24" s="58" t="s">
        <v>37</v>
      </c>
      <c r="C24" s="61" t="s">
        <v>31</v>
      </c>
      <c r="D24" s="61" t="s">
        <v>38</v>
      </c>
      <c r="E24" s="62">
        <v>45464</v>
      </c>
      <c r="F24" s="62">
        <v>45466</v>
      </c>
      <c r="G24" s="63">
        <v>4</v>
      </c>
      <c r="H24" s="63">
        <v>2</v>
      </c>
      <c r="I24" s="63">
        <v>1</v>
      </c>
      <c r="J24" s="63">
        <v>1</v>
      </c>
      <c r="K24" s="64">
        <f t="shared" si="0"/>
        <v>8</v>
      </c>
      <c r="L24" s="65">
        <v>160</v>
      </c>
      <c r="M24" s="66" t="s">
        <v>19</v>
      </c>
      <c r="N24" s="64">
        <f t="shared" si="8"/>
        <v>2</v>
      </c>
      <c r="O24" s="67">
        <f t="shared" si="2"/>
        <v>2560</v>
      </c>
      <c r="P24" s="65">
        <v>0</v>
      </c>
      <c r="Q24" s="63">
        <v>800</v>
      </c>
      <c r="R24" s="67">
        <v>0.5</v>
      </c>
      <c r="S24" s="67">
        <f t="shared" si="3"/>
        <v>400</v>
      </c>
      <c r="T24" s="67">
        <f t="shared" si="7"/>
        <v>400</v>
      </c>
      <c r="U24" s="65">
        <v>0</v>
      </c>
      <c r="V24" s="68">
        <f t="shared" si="4"/>
        <v>0</v>
      </c>
      <c r="W24" s="65">
        <v>300</v>
      </c>
      <c r="X24" s="67">
        <v>2000</v>
      </c>
      <c r="Y24" s="67">
        <v>0</v>
      </c>
      <c r="Z24" s="67">
        <f t="shared" si="5"/>
        <v>1260</v>
      </c>
      <c r="AA24" s="60">
        <f t="shared" si="6"/>
        <v>3260</v>
      </c>
    </row>
    <row r="25" spans="1:27" s="3" customFormat="1" ht="15.5" x14ac:dyDescent="0.35">
      <c r="A25" s="5">
        <v>16</v>
      </c>
      <c r="B25" s="58" t="s">
        <v>37</v>
      </c>
      <c r="C25" s="61" t="s">
        <v>33</v>
      </c>
      <c r="D25" s="61" t="s">
        <v>38</v>
      </c>
      <c r="E25" s="62">
        <v>45464</v>
      </c>
      <c r="F25" s="62">
        <v>45466</v>
      </c>
      <c r="G25" s="63">
        <v>2</v>
      </c>
      <c r="H25" s="63">
        <v>2</v>
      </c>
      <c r="I25" s="63">
        <v>1</v>
      </c>
      <c r="J25" s="63">
        <v>0</v>
      </c>
      <c r="K25" s="64">
        <f t="shared" si="0"/>
        <v>5</v>
      </c>
      <c r="L25" s="65">
        <v>160</v>
      </c>
      <c r="M25" s="66" t="s">
        <v>19</v>
      </c>
      <c r="N25" s="64">
        <f t="shared" si="8"/>
        <v>2</v>
      </c>
      <c r="O25" s="67">
        <f t="shared" si="2"/>
        <v>1600</v>
      </c>
      <c r="P25" s="65">
        <v>0</v>
      </c>
      <c r="Q25" s="63">
        <v>800</v>
      </c>
      <c r="R25" s="67">
        <v>0.5</v>
      </c>
      <c r="S25" s="67">
        <f t="shared" si="3"/>
        <v>400</v>
      </c>
      <c r="T25" s="67">
        <f t="shared" si="7"/>
        <v>400</v>
      </c>
      <c r="U25" s="65">
        <v>0</v>
      </c>
      <c r="V25" s="68">
        <f t="shared" si="4"/>
        <v>0</v>
      </c>
      <c r="W25" s="65">
        <v>300</v>
      </c>
      <c r="X25" s="67">
        <v>2000</v>
      </c>
      <c r="Y25" s="67">
        <v>0</v>
      </c>
      <c r="Z25" s="67">
        <f t="shared" si="5"/>
        <v>300</v>
      </c>
      <c r="AA25" s="60">
        <f t="shared" si="6"/>
        <v>2300</v>
      </c>
    </row>
    <row r="26" spans="1:27" s="3" customFormat="1" ht="15.5" x14ac:dyDescent="0.35">
      <c r="A26" s="5">
        <v>17</v>
      </c>
      <c r="B26" s="58" t="s">
        <v>39</v>
      </c>
      <c r="C26" s="61" t="s">
        <v>31</v>
      </c>
      <c r="D26" s="61" t="s">
        <v>40</v>
      </c>
      <c r="E26" s="62">
        <v>45552</v>
      </c>
      <c r="F26" s="62">
        <v>45557</v>
      </c>
      <c r="G26" s="63">
        <v>5</v>
      </c>
      <c r="H26" s="63">
        <v>3</v>
      </c>
      <c r="I26" s="63">
        <v>1</v>
      </c>
      <c r="J26" s="63">
        <v>1</v>
      </c>
      <c r="K26" s="64">
        <f t="shared" si="0"/>
        <v>10</v>
      </c>
      <c r="L26" s="65">
        <v>80</v>
      </c>
      <c r="M26" s="66" t="s">
        <v>19</v>
      </c>
      <c r="N26" s="64">
        <f t="shared" si="8"/>
        <v>5</v>
      </c>
      <c r="O26" s="67">
        <f t="shared" si="2"/>
        <v>4000</v>
      </c>
      <c r="P26" s="65">
        <v>0</v>
      </c>
      <c r="Q26" s="63">
        <v>300</v>
      </c>
      <c r="R26" s="67">
        <v>0.5</v>
      </c>
      <c r="S26" s="67">
        <f t="shared" si="3"/>
        <v>150</v>
      </c>
      <c r="T26" s="67">
        <f t="shared" si="7"/>
        <v>150</v>
      </c>
      <c r="U26" s="65">
        <v>400</v>
      </c>
      <c r="V26" s="68">
        <f t="shared" si="4"/>
        <v>4000</v>
      </c>
      <c r="W26" s="65">
        <v>0</v>
      </c>
      <c r="X26" s="67">
        <v>8000</v>
      </c>
      <c r="Y26" s="67">
        <v>0</v>
      </c>
      <c r="Z26" s="67">
        <f t="shared" si="5"/>
        <v>150</v>
      </c>
      <c r="AA26" s="60">
        <f t="shared" si="6"/>
        <v>8150</v>
      </c>
    </row>
    <row r="27" spans="1:27" s="3" customFormat="1" ht="15.5" x14ac:dyDescent="0.35">
      <c r="A27" s="5">
        <v>18</v>
      </c>
      <c r="B27" s="58" t="s">
        <v>39</v>
      </c>
      <c r="C27" s="61" t="s">
        <v>33</v>
      </c>
      <c r="D27" s="61" t="s">
        <v>40</v>
      </c>
      <c r="E27" s="62">
        <v>45552</v>
      </c>
      <c r="F27" s="62">
        <v>45557</v>
      </c>
      <c r="G27" s="63">
        <v>2</v>
      </c>
      <c r="H27" s="63">
        <v>2</v>
      </c>
      <c r="I27" s="63">
        <v>1</v>
      </c>
      <c r="J27" s="63">
        <v>1</v>
      </c>
      <c r="K27" s="64">
        <f t="shared" si="0"/>
        <v>6</v>
      </c>
      <c r="L27" s="65">
        <v>80</v>
      </c>
      <c r="M27" s="66" t="s">
        <v>19</v>
      </c>
      <c r="N27" s="64">
        <f t="shared" si="8"/>
        <v>5</v>
      </c>
      <c r="O27" s="67">
        <f t="shared" si="2"/>
        <v>2400</v>
      </c>
      <c r="P27" s="65">
        <v>0</v>
      </c>
      <c r="Q27" s="63">
        <v>500</v>
      </c>
      <c r="R27" s="67">
        <v>0.5</v>
      </c>
      <c r="S27" s="67">
        <f t="shared" si="3"/>
        <v>250</v>
      </c>
      <c r="T27" s="67">
        <f t="shared" si="7"/>
        <v>250</v>
      </c>
      <c r="U27" s="65">
        <v>400</v>
      </c>
      <c r="V27" s="68">
        <f t="shared" si="4"/>
        <v>2400</v>
      </c>
      <c r="W27" s="65">
        <v>0</v>
      </c>
      <c r="X27" s="67">
        <v>5000</v>
      </c>
      <c r="Y27" s="67">
        <v>0</v>
      </c>
      <c r="Z27" s="67">
        <f t="shared" si="5"/>
        <v>50</v>
      </c>
      <c r="AA27" s="60">
        <f t="shared" si="6"/>
        <v>5050</v>
      </c>
    </row>
    <row r="28" spans="1:27" s="3" customFormat="1" ht="15.5" x14ac:dyDescent="0.35">
      <c r="A28" s="5">
        <v>19</v>
      </c>
      <c r="B28" s="58" t="s">
        <v>41</v>
      </c>
      <c r="C28" s="61" t="s">
        <v>31</v>
      </c>
      <c r="D28" s="61" t="s">
        <v>42</v>
      </c>
      <c r="E28" s="62">
        <v>45618</v>
      </c>
      <c r="F28" s="62">
        <v>45620</v>
      </c>
      <c r="G28" s="63">
        <v>5</v>
      </c>
      <c r="H28" s="63">
        <v>4</v>
      </c>
      <c r="I28" s="63">
        <v>1</v>
      </c>
      <c r="J28" s="63">
        <v>1</v>
      </c>
      <c r="K28" s="64">
        <f t="shared" si="0"/>
        <v>11</v>
      </c>
      <c r="L28" s="65">
        <v>200</v>
      </c>
      <c r="M28" s="66" t="s">
        <v>19</v>
      </c>
      <c r="N28" s="64">
        <f t="shared" si="8"/>
        <v>2</v>
      </c>
      <c r="O28" s="67">
        <f t="shared" si="2"/>
        <v>4400</v>
      </c>
      <c r="P28" s="65">
        <v>0</v>
      </c>
      <c r="Q28" s="63">
        <v>1000</v>
      </c>
      <c r="R28" s="67">
        <v>0.5</v>
      </c>
      <c r="S28" s="67">
        <f t="shared" si="3"/>
        <v>500</v>
      </c>
      <c r="T28" s="67">
        <f t="shared" si="7"/>
        <v>500</v>
      </c>
      <c r="U28" s="65">
        <v>0</v>
      </c>
      <c r="V28" s="68">
        <f t="shared" si="4"/>
        <v>0</v>
      </c>
      <c r="W28" s="65">
        <v>300</v>
      </c>
      <c r="X28" s="67">
        <v>5000</v>
      </c>
      <c r="Y28" s="67">
        <v>0</v>
      </c>
      <c r="Z28" s="67">
        <f t="shared" si="5"/>
        <v>200</v>
      </c>
      <c r="AA28" s="60">
        <f t="shared" si="6"/>
        <v>5200</v>
      </c>
    </row>
    <row r="29" spans="1:27" s="3" customFormat="1" ht="15.5" x14ac:dyDescent="0.35">
      <c r="A29" s="5">
        <v>20</v>
      </c>
      <c r="B29" s="58" t="s">
        <v>41</v>
      </c>
      <c r="C29" s="61" t="s">
        <v>33</v>
      </c>
      <c r="D29" s="61" t="s">
        <v>42</v>
      </c>
      <c r="E29" s="62">
        <v>45618</v>
      </c>
      <c r="F29" s="62">
        <v>45620</v>
      </c>
      <c r="G29" s="63">
        <v>2</v>
      </c>
      <c r="H29" s="63">
        <v>1</v>
      </c>
      <c r="I29" s="63">
        <v>1</v>
      </c>
      <c r="J29" s="63">
        <v>1</v>
      </c>
      <c r="K29" s="64">
        <f t="shared" si="0"/>
        <v>5</v>
      </c>
      <c r="L29" s="65">
        <v>150</v>
      </c>
      <c r="M29" s="66" t="s">
        <v>19</v>
      </c>
      <c r="N29" s="64">
        <f t="shared" si="8"/>
        <v>2</v>
      </c>
      <c r="O29" s="67">
        <f t="shared" si="2"/>
        <v>1500</v>
      </c>
      <c r="P29" s="65">
        <v>0</v>
      </c>
      <c r="Q29" s="63">
        <v>1000</v>
      </c>
      <c r="R29" s="67">
        <v>0.5</v>
      </c>
      <c r="S29" s="67">
        <f t="shared" si="3"/>
        <v>500</v>
      </c>
      <c r="T29" s="67">
        <f t="shared" si="7"/>
        <v>500</v>
      </c>
      <c r="U29" s="65">
        <v>0</v>
      </c>
      <c r="V29" s="68">
        <f t="shared" si="4"/>
        <v>0</v>
      </c>
      <c r="W29" s="65">
        <v>300</v>
      </c>
      <c r="X29" s="67">
        <v>2000</v>
      </c>
      <c r="Y29" s="67">
        <v>0</v>
      </c>
      <c r="Z29" s="67">
        <f t="shared" si="5"/>
        <v>300</v>
      </c>
      <c r="AA29" s="60">
        <f t="shared" si="6"/>
        <v>2300</v>
      </c>
    </row>
    <row r="30" spans="1:27" s="3" customFormat="1" ht="15.5" x14ac:dyDescent="0.35">
      <c r="A30" s="5">
        <v>21</v>
      </c>
      <c r="B30" s="58" t="s">
        <v>311</v>
      </c>
      <c r="C30" s="61" t="s">
        <v>31</v>
      </c>
      <c r="D30" s="61" t="s">
        <v>43</v>
      </c>
      <c r="E30" s="62">
        <v>45632</v>
      </c>
      <c r="F30" s="62">
        <v>45634</v>
      </c>
      <c r="G30" s="63">
        <v>5</v>
      </c>
      <c r="H30" s="63">
        <v>2</v>
      </c>
      <c r="I30" s="63">
        <v>1</v>
      </c>
      <c r="J30" s="63">
        <v>1</v>
      </c>
      <c r="K30" s="64">
        <f t="shared" si="0"/>
        <v>9</v>
      </c>
      <c r="L30" s="65">
        <v>70</v>
      </c>
      <c r="M30" s="66" t="s">
        <v>19</v>
      </c>
      <c r="N30" s="64">
        <f t="shared" si="8"/>
        <v>2</v>
      </c>
      <c r="O30" s="67">
        <f t="shared" si="2"/>
        <v>1260</v>
      </c>
      <c r="P30" s="65">
        <v>0</v>
      </c>
      <c r="Q30" s="63">
        <v>1000</v>
      </c>
      <c r="R30" s="67">
        <v>0.5</v>
      </c>
      <c r="S30" s="67">
        <f t="shared" si="3"/>
        <v>500</v>
      </c>
      <c r="T30" s="67">
        <f t="shared" si="7"/>
        <v>500</v>
      </c>
      <c r="U30" s="65">
        <v>0</v>
      </c>
      <c r="V30" s="68">
        <f t="shared" si="4"/>
        <v>0</v>
      </c>
      <c r="W30" s="65">
        <v>300</v>
      </c>
      <c r="X30" s="67">
        <v>1500</v>
      </c>
      <c r="Y30" s="67">
        <v>0</v>
      </c>
      <c r="Z30" s="67">
        <f t="shared" si="5"/>
        <v>560</v>
      </c>
      <c r="AA30" s="60">
        <f t="shared" si="6"/>
        <v>2060</v>
      </c>
    </row>
    <row r="31" spans="1:27" s="3" customFormat="1" ht="15.5" x14ac:dyDescent="0.35">
      <c r="A31" s="5">
        <v>22</v>
      </c>
      <c r="B31" s="58" t="s">
        <v>311</v>
      </c>
      <c r="C31" s="61" t="s">
        <v>33</v>
      </c>
      <c r="D31" s="61" t="s">
        <v>43</v>
      </c>
      <c r="E31" s="62">
        <v>45632</v>
      </c>
      <c r="F31" s="62">
        <v>45634</v>
      </c>
      <c r="G31" s="63">
        <v>4</v>
      </c>
      <c r="H31" s="63">
        <v>2</v>
      </c>
      <c r="I31" s="63">
        <v>1</v>
      </c>
      <c r="J31" s="63">
        <v>1</v>
      </c>
      <c r="K31" s="64">
        <f t="shared" si="0"/>
        <v>8</v>
      </c>
      <c r="L31" s="65">
        <v>70</v>
      </c>
      <c r="M31" s="66" t="s">
        <v>19</v>
      </c>
      <c r="N31" s="64">
        <f t="shared" si="8"/>
        <v>2</v>
      </c>
      <c r="O31" s="67">
        <f t="shared" si="2"/>
        <v>1120</v>
      </c>
      <c r="P31" s="65">
        <v>0</v>
      </c>
      <c r="Q31" s="63">
        <v>1000</v>
      </c>
      <c r="R31" s="67">
        <v>0.5</v>
      </c>
      <c r="S31" s="67">
        <f t="shared" si="3"/>
        <v>500</v>
      </c>
      <c r="T31" s="67">
        <f t="shared" si="7"/>
        <v>500</v>
      </c>
      <c r="U31" s="65">
        <v>0</v>
      </c>
      <c r="V31" s="68">
        <f t="shared" si="4"/>
        <v>0</v>
      </c>
      <c r="W31" s="65">
        <v>300</v>
      </c>
      <c r="X31" s="67">
        <v>1500</v>
      </c>
      <c r="Y31" s="67">
        <v>0</v>
      </c>
      <c r="Z31" s="67">
        <f t="shared" si="5"/>
        <v>420</v>
      </c>
      <c r="AA31" s="60">
        <f t="shared" si="6"/>
        <v>1920</v>
      </c>
    </row>
    <row r="32" spans="1:27" s="3" customFormat="1" ht="15.5" x14ac:dyDescent="0.35">
      <c r="A32" s="5">
        <v>23</v>
      </c>
      <c r="B32" s="58" t="s">
        <v>44</v>
      </c>
      <c r="C32" s="61" t="s">
        <v>31</v>
      </c>
      <c r="D32" s="61" t="s">
        <v>45</v>
      </c>
      <c r="E32" s="62">
        <v>45470</v>
      </c>
      <c r="F32" s="62">
        <v>45473</v>
      </c>
      <c r="G32" s="63">
        <v>4</v>
      </c>
      <c r="H32" s="63">
        <v>3</v>
      </c>
      <c r="I32" s="63">
        <v>1</v>
      </c>
      <c r="J32" s="63">
        <v>0</v>
      </c>
      <c r="K32" s="64">
        <f t="shared" si="0"/>
        <v>8</v>
      </c>
      <c r="L32" s="65">
        <v>70</v>
      </c>
      <c r="M32" s="66" t="s">
        <v>19</v>
      </c>
      <c r="N32" s="64">
        <f t="shared" si="8"/>
        <v>3</v>
      </c>
      <c r="O32" s="67">
        <f t="shared" si="2"/>
        <v>1680</v>
      </c>
      <c r="P32" s="65">
        <v>0</v>
      </c>
      <c r="Q32" s="63">
        <v>0</v>
      </c>
      <c r="R32" s="67">
        <v>0.5</v>
      </c>
      <c r="S32" s="67">
        <f t="shared" si="3"/>
        <v>0</v>
      </c>
      <c r="T32" s="67">
        <f t="shared" si="7"/>
        <v>0</v>
      </c>
      <c r="U32" s="65">
        <v>0</v>
      </c>
      <c r="V32" s="68">
        <f t="shared" si="4"/>
        <v>0</v>
      </c>
      <c r="W32" s="65">
        <v>400</v>
      </c>
      <c r="X32" s="67">
        <v>1400</v>
      </c>
      <c r="Y32" s="67">
        <v>0</v>
      </c>
      <c r="Z32" s="67">
        <f t="shared" si="5"/>
        <v>680</v>
      </c>
      <c r="AA32" s="60">
        <f t="shared" si="6"/>
        <v>2080</v>
      </c>
    </row>
    <row r="33" spans="1:168" s="3" customFormat="1" ht="15.5" x14ac:dyDescent="0.35">
      <c r="A33" s="5">
        <v>24</v>
      </c>
      <c r="B33" s="58" t="s">
        <v>44</v>
      </c>
      <c r="C33" s="61" t="s">
        <v>33</v>
      </c>
      <c r="D33" s="61" t="s">
        <v>45</v>
      </c>
      <c r="E33" s="62">
        <v>45470</v>
      </c>
      <c r="F33" s="62">
        <v>45473</v>
      </c>
      <c r="G33" s="63">
        <v>4</v>
      </c>
      <c r="H33" s="63">
        <v>3</v>
      </c>
      <c r="I33" s="63">
        <v>1</v>
      </c>
      <c r="J33" s="63">
        <v>0</v>
      </c>
      <c r="K33" s="64">
        <f t="shared" si="0"/>
        <v>8</v>
      </c>
      <c r="L33" s="65">
        <v>70</v>
      </c>
      <c r="M33" s="66" t="s">
        <v>19</v>
      </c>
      <c r="N33" s="64">
        <f t="shared" si="8"/>
        <v>3</v>
      </c>
      <c r="O33" s="67">
        <f t="shared" si="2"/>
        <v>1680</v>
      </c>
      <c r="P33" s="65">
        <v>0</v>
      </c>
      <c r="Q33" s="63">
        <v>0</v>
      </c>
      <c r="R33" s="67">
        <v>0.5</v>
      </c>
      <c r="S33" s="67">
        <f t="shared" si="3"/>
        <v>0</v>
      </c>
      <c r="T33" s="67">
        <f t="shared" si="7"/>
        <v>0</v>
      </c>
      <c r="U33" s="65">
        <v>0</v>
      </c>
      <c r="V33" s="68">
        <f t="shared" si="4"/>
        <v>0</v>
      </c>
      <c r="W33" s="65">
        <v>400</v>
      </c>
      <c r="X33" s="67">
        <v>1000</v>
      </c>
      <c r="Y33" s="67">
        <v>0</v>
      </c>
      <c r="Z33" s="67">
        <f t="shared" si="5"/>
        <v>1080</v>
      </c>
      <c r="AA33" s="60">
        <f t="shared" si="6"/>
        <v>2080</v>
      </c>
    </row>
    <row r="34" spans="1:168" s="2" customFormat="1" ht="15.5" x14ac:dyDescent="0.35">
      <c r="A34" s="126" t="s">
        <v>109</v>
      </c>
      <c r="B34" s="127"/>
      <c r="C34" s="127"/>
      <c r="D34" s="127"/>
      <c r="E34" s="127"/>
      <c r="F34" s="127"/>
      <c r="G34" s="127"/>
      <c r="H34" s="127"/>
      <c r="I34" s="127"/>
      <c r="J34" s="127"/>
      <c r="K34" s="127"/>
      <c r="L34" s="127"/>
      <c r="M34" s="127"/>
      <c r="N34" s="128"/>
      <c r="O34" s="52">
        <f>SUM(O10:O33)</f>
        <v>132770</v>
      </c>
      <c r="P34" s="123"/>
      <c r="Q34" s="124"/>
      <c r="R34" s="124"/>
      <c r="S34" s="125"/>
      <c r="T34" s="53">
        <f>SUM(T10:T33)</f>
        <v>16820</v>
      </c>
      <c r="U34" s="54"/>
      <c r="V34" s="53">
        <f>SUM(V10:V33)</f>
        <v>33450</v>
      </c>
      <c r="W34" s="53">
        <f>SUM(W10:W33)</f>
        <v>3600</v>
      </c>
      <c r="X34" s="11">
        <f>SUM(X10:X33)</f>
        <v>171510</v>
      </c>
      <c r="Y34" s="11">
        <f t="shared" ref="Y34:AA34" si="9">SUM(Y10:Y33)</f>
        <v>0</v>
      </c>
      <c r="Z34" s="40">
        <f t="shared" si="9"/>
        <v>15130</v>
      </c>
      <c r="AA34" s="11">
        <f t="shared" si="9"/>
        <v>186640</v>
      </c>
    </row>
    <row r="35" spans="1:168" s="75" customFormat="1" ht="15.5" x14ac:dyDescent="0.35">
      <c r="A35" s="20"/>
      <c r="B35" s="121" t="s">
        <v>111</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row>
    <row r="36" spans="1:168" s="3" customFormat="1" ht="58" customHeight="1" x14ac:dyDescent="0.35">
      <c r="A36" s="37" t="s">
        <v>52</v>
      </c>
      <c r="B36" s="5" t="s">
        <v>0</v>
      </c>
      <c r="C36" s="5" t="s">
        <v>1</v>
      </c>
      <c r="D36" s="5" t="s">
        <v>2</v>
      </c>
      <c r="E36" s="129" t="s">
        <v>50</v>
      </c>
      <c r="F36" s="129"/>
      <c r="G36" s="129" t="s">
        <v>51</v>
      </c>
      <c r="H36" s="129"/>
      <c r="I36" s="129"/>
      <c r="J36" s="129"/>
      <c r="K36" s="129"/>
      <c r="L36" s="130" t="s">
        <v>121</v>
      </c>
      <c r="M36" s="130"/>
      <c r="N36" s="130"/>
      <c r="O36" s="130"/>
      <c r="P36" s="13" t="s">
        <v>12</v>
      </c>
      <c r="Q36" s="7" t="s">
        <v>13</v>
      </c>
      <c r="R36" s="7" t="s">
        <v>14</v>
      </c>
      <c r="S36" s="7" t="s">
        <v>15</v>
      </c>
      <c r="T36" s="7" t="s">
        <v>122</v>
      </c>
      <c r="U36" s="109" t="s">
        <v>124</v>
      </c>
      <c r="V36" s="110"/>
      <c r="W36" s="7" t="s">
        <v>125</v>
      </c>
      <c r="X36" s="5" t="s">
        <v>47</v>
      </c>
      <c r="Y36" s="7" t="s">
        <v>103</v>
      </c>
      <c r="Z36" s="7" t="s">
        <v>48</v>
      </c>
      <c r="AA36" s="7" t="s">
        <v>109</v>
      </c>
    </row>
    <row r="37" spans="1:168" s="3" customFormat="1" ht="15.5" x14ac:dyDescent="0.35">
      <c r="A37" s="5">
        <v>25</v>
      </c>
      <c r="B37" s="58" t="s">
        <v>297</v>
      </c>
      <c r="C37" s="42" t="s">
        <v>17</v>
      </c>
      <c r="D37" s="42" t="s">
        <v>53</v>
      </c>
      <c r="E37" s="133" t="s">
        <v>283</v>
      </c>
      <c r="F37" s="133"/>
      <c r="G37" s="131">
        <v>10</v>
      </c>
      <c r="H37" s="131">
        <v>10</v>
      </c>
      <c r="I37" s="131">
        <v>10</v>
      </c>
      <c r="J37" s="131">
        <v>10</v>
      </c>
      <c r="K37" s="131">
        <v>10</v>
      </c>
      <c r="L37" s="132">
        <v>80</v>
      </c>
      <c r="M37" s="132">
        <v>80</v>
      </c>
      <c r="N37" s="132">
        <v>80</v>
      </c>
      <c r="O37" s="132">
        <v>80</v>
      </c>
      <c r="P37" s="39">
        <v>0</v>
      </c>
      <c r="Q37" s="9">
        <v>800</v>
      </c>
      <c r="R37" s="38">
        <v>0.5</v>
      </c>
      <c r="S37" s="38">
        <f t="shared" ref="S37:S61" si="10">Q37*R37</f>
        <v>400</v>
      </c>
      <c r="T37" s="38">
        <f>(G37*P37)+S37</f>
        <v>400</v>
      </c>
      <c r="U37" s="134">
        <v>0</v>
      </c>
      <c r="V37" s="135"/>
      <c r="W37" s="59">
        <v>0</v>
      </c>
      <c r="X37" s="59">
        <v>400</v>
      </c>
      <c r="Y37" s="59">
        <v>0</v>
      </c>
      <c r="Z37" s="60">
        <f>AA37-X37</f>
        <v>80</v>
      </c>
      <c r="AA37" s="60">
        <f>L37+T37+U37+W37</f>
        <v>480</v>
      </c>
    </row>
    <row r="38" spans="1:168" s="3" customFormat="1" ht="15.5" x14ac:dyDescent="0.35">
      <c r="A38" s="5">
        <v>26</v>
      </c>
      <c r="B38" s="58" t="s">
        <v>298</v>
      </c>
      <c r="C38" s="42" t="s">
        <v>17</v>
      </c>
      <c r="D38" s="42" t="s">
        <v>25</v>
      </c>
      <c r="E38" s="133" t="s">
        <v>284</v>
      </c>
      <c r="F38" s="133"/>
      <c r="G38" s="131">
        <v>10</v>
      </c>
      <c r="H38" s="131">
        <v>10</v>
      </c>
      <c r="I38" s="131">
        <v>10</v>
      </c>
      <c r="J38" s="131">
        <v>10</v>
      </c>
      <c r="K38" s="131">
        <v>10</v>
      </c>
      <c r="L38" s="132">
        <v>80</v>
      </c>
      <c r="M38" s="132">
        <v>80</v>
      </c>
      <c r="N38" s="132">
        <v>80</v>
      </c>
      <c r="O38" s="132">
        <v>80</v>
      </c>
      <c r="P38" s="39">
        <v>0</v>
      </c>
      <c r="Q38" s="9">
        <v>1200</v>
      </c>
      <c r="R38" s="38">
        <v>0.5</v>
      </c>
      <c r="S38" s="38">
        <f t="shared" si="10"/>
        <v>600</v>
      </c>
      <c r="T38" s="38">
        <f t="shared" ref="T38:T61" si="11">(G38*P38)+S38</f>
        <v>600</v>
      </c>
      <c r="U38" s="134">
        <v>0</v>
      </c>
      <c r="V38" s="135"/>
      <c r="W38" s="59">
        <v>0</v>
      </c>
      <c r="X38" s="59">
        <v>400</v>
      </c>
      <c r="Y38" s="59">
        <v>0</v>
      </c>
      <c r="Z38" s="60">
        <f t="shared" ref="Z38:Z61" si="12">AA38-X38</f>
        <v>280</v>
      </c>
      <c r="AA38" s="60">
        <f t="shared" ref="AA38:AA61" si="13">L38+T38+U38+W38</f>
        <v>680</v>
      </c>
    </row>
    <row r="39" spans="1:168" s="3" customFormat="1" ht="15.5" x14ac:dyDescent="0.35">
      <c r="A39" s="5">
        <v>27</v>
      </c>
      <c r="B39" s="58" t="s">
        <v>299</v>
      </c>
      <c r="C39" s="42" t="s">
        <v>17</v>
      </c>
      <c r="D39" s="42" t="s">
        <v>53</v>
      </c>
      <c r="E39" s="133" t="s">
        <v>287</v>
      </c>
      <c r="F39" s="133"/>
      <c r="G39" s="131">
        <v>10</v>
      </c>
      <c r="H39" s="131">
        <v>10</v>
      </c>
      <c r="I39" s="131">
        <v>10</v>
      </c>
      <c r="J39" s="131">
        <v>10</v>
      </c>
      <c r="K39" s="131">
        <v>10</v>
      </c>
      <c r="L39" s="132">
        <v>80</v>
      </c>
      <c r="M39" s="132">
        <v>80</v>
      </c>
      <c r="N39" s="132">
        <v>80</v>
      </c>
      <c r="O39" s="132">
        <v>80</v>
      </c>
      <c r="P39" s="39">
        <v>0</v>
      </c>
      <c r="Q39" s="9">
        <v>800</v>
      </c>
      <c r="R39" s="38">
        <v>0.5</v>
      </c>
      <c r="S39" s="38">
        <f t="shared" si="10"/>
        <v>400</v>
      </c>
      <c r="T39" s="38">
        <f t="shared" si="11"/>
        <v>400</v>
      </c>
      <c r="U39" s="134">
        <v>0</v>
      </c>
      <c r="V39" s="135"/>
      <c r="W39" s="59">
        <v>0</v>
      </c>
      <c r="X39" s="59">
        <v>400</v>
      </c>
      <c r="Y39" s="59">
        <v>0</v>
      </c>
      <c r="Z39" s="60">
        <f t="shared" si="12"/>
        <v>80</v>
      </c>
      <c r="AA39" s="60">
        <f t="shared" si="13"/>
        <v>480</v>
      </c>
    </row>
    <row r="40" spans="1:168" s="3" customFormat="1" ht="15.5" x14ac:dyDescent="0.35">
      <c r="A40" s="5">
        <v>28</v>
      </c>
      <c r="B40" s="58" t="s">
        <v>300</v>
      </c>
      <c r="C40" s="42" t="s">
        <v>17</v>
      </c>
      <c r="D40" s="42" t="s">
        <v>25</v>
      </c>
      <c r="E40" s="133" t="s">
        <v>285</v>
      </c>
      <c r="F40" s="133"/>
      <c r="G40" s="131">
        <v>10</v>
      </c>
      <c r="H40" s="131">
        <v>10</v>
      </c>
      <c r="I40" s="131">
        <v>10</v>
      </c>
      <c r="J40" s="131">
        <v>10</v>
      </c>
      <c r="K40" s="131">
        <v>10</v>
      </c>
      <c r="L40" s="132">
        <v>80</v>
      </c>
      <c r="M40" s="132">
        <v>80</v>
      </c>
      <c r="N40" s="132">
        <v>80</v>
      </c>
      <c r="O40" s="132">
        <v>80</v>
      </c>
      <c r="P40" s="39">
        <v>0</v>
      </c>
      <c r="Q40" s="9">
        <v>1288</v>
      </c>
      <c r="R40" s="38">
        <v>0.5</v>
      </c>
      <c r="S40" s="38">
        <f t="shared" si="10"/>
        <v>644</v>
      </c>
      <c r="T40" s="38">
        <f t="shared" si="11"/>
        <v>644</v>
      </c>
      <c r="U40" s="134">
        <v>0</v>
      </c>
      <c r="V40" s="135"/>
      <c r="W40" s="59">
        <v>0</v>
      </c>
      <c r="X40" s="59">
        <v>400</v>
      </c>
      <c r="Y40" s="59">
        <v>0</v>
      </c>
      <c r="Z40" s="60">
        <f t="shared" si="12"/>
        <v>324</v>
      </c>
      <c r="AA40" s="60">
        <f t="shared" si="13"/>
        <v>724</v>
      </c>
    </row>
    <row r="41" spans="1:168" s="3" customFormat="1" ht="15.5" x14ac:dyDescent="0.35">
      <c r="A41" s="5">
        <v>29</v>
      </c>
      <c r="B41" s="58" t="s">
        <v>304</v>
      </c>
      <c r="C41" s="42" t="s">
        <v>17</v>
      </c>
      <c r="D41" s="42" t="s">
        <v>53</v>
      </c>
      <c r="E41" s="133" t="s">
        <v>286</v>
      </c>
      <c r="F41" s="133"/>
      <c r="G41" s="131">
        <v>10</v>
      </c>
      <c r="H41" s="131">
        <v>10</v>
      </c>
      <c r="I41" s="131">
        <v>10</v>
      </c>
      <c r="J41" s="131">
        <v>10</v>
      </c>
      <c r="K41" s="131">
        <v>10</v>
      </c>
      <c r="L41" s="132">
        <v>80</v>
      </c>
      <c r="M41" s="132">
        <v>80</v>
      </c>
      <c r="N41" s="132">
        <v>80</v>
      </c>
      <c r="O41" s="132">
        <v>80</v>
      </c>
      <c r="P41" s="39">
        <v>0</v>
      </c>
      <c r="Q41" s="9">
        <v>800</v>
      </c>
      <c r="R41" s="38">
        <v>0.5</v>
      </c>
      <c r="S41" s="38">
        <f t="shared" si="10"/>
        <v>400</v>
      </c>
      <c r="T41" s="38">
        <f t="shared" si="11"/>
        <v>400</v>
      </c>
      <c r="U41" s="134">
        <v>0</v>
      </c>
      <c r="V41" s="135"/>
      <c r="W41" s="59">
        <v>0</v>
      </c>
      <c r="X41" s="59">
        <v>400</v>
      </c>
      <c r="Y41" s="59">
        <v>0</v>
      </c>
      <c r="Z41" s="60">
        <f t="shared" si="12"/>
        <v>80</v>
      </c>
      <c r="AA41" s="60">
        <f t="shared" si="13"/>
        <v>480</v>
      </c>
    </row>
    <row r="42" spans="1:168" s="3" customFormat="1" ht="15.5" x14ac:dyDescent="0.35">
      <c r="A42" s="5">
        <v>30</v>
      </c>
      <c r="B42" s="58" t="s">
        <v>305</v>
      </c>
      <c r="C42" s="42" t="s">
        <v>17</v>
      </c>
      <c r="D42" s="42" t="s">
        <v>25</v>
      </c>
      <c r="E42" s="133" t="s">
        <v>288</v>
      </c>
      <c r="F42" s="133"/>
      <c r="G42" s="131">
        <v>10</v>
      </c>
      <c r="H42" s="131">
        <v>10</v>
      </c>
      <c r="I42" s="131">
        <v>10</v>
      </c>
      <c r="J42" s="131">
        <v>10</v>
      </c>
      <c r="K42" s="131">
        <v>10</v>
      </c>
      <c r="L42" s="132">
        <v>80</v>
      </c>
      <c r="M42" s="132">
        <v>80</v>
      </c>
      <c r="N42" s="132">
        <v>80</v>
      </c>
      <c r="O42" s="132">
        <v>80</v>
      </c>
      <c r="P42" s="39">
        <v>0</v>
      </c>
      <c r="Q42" s="9">
        <v>1288</v>
      </c>
      <c r="R42" s="38">
        <v>0.5</v>
      </c>
      <c r="S42" s="38">
        <f t="shared" si="10"/>
        <v>644</v>
      </c>
      <c r="T42" s="38">
        <f t="shared" si="11"/>
        <v>644</v>
      </c>
      <c r="U42" s="134">
        <v>0</v>
      </c>
      <c r="V42" s="135"/>
      <c r="W42" s="59">
        <v>0</v>
      </c>
      <c r="X42" s="59">
        <v>400</v>
      </c>
      <c r="Y42" s="59">
        <v>0</v>
      </c>
      <c r="Z42" s="60">
        <f t="shared" si="12"/>
        <v>324</v>
      </c>
      <c r="AA42" s="60">
        <f t="shared" si="13"/>
        <v>724</v>
      </c>
    </row>
    <row r="43" spans="1:168" s="3" customFormat="1" ht="15.5" x14ac:dyDescent="0.35">
      <c r="A43" s="5">
        <v>31</v>
      </c>
      <c r="B43" s="58" t="s">
        <v>54</v>
      </c>
      <c r="C43" s="42" t="s">
        <v>17</v>
      </c>
      <c r="D43" s="42" t="s">
        <v>53</v>
      </c>
      <c r="E43" s="133" t="s">
        <v>286</v>
      </c>
      <c r="F43" s="133"/>
      <c r="G43" s="131">
        <v>10</v>
      </c>
      <c r="H43" s="131">
        <v>10</v>
      </c>
      <c r="I43" s="131">
        <v>10</v>
      </c>
      <c r="J43" s="131">
        <v>10</v>
      </c>
      <c r="K43" s="131">
        <v>10</v>
      </c>
      <c r="L43" s="132">
        <v>80</v>
      </c>
      <c r="M43" s="132">
        <v>80</v>
      </c>
      <c r="N43" s="132">
        <v>80</v>
      </c>
      <c r="O43" s="132">
        <v>80</v>
      </c>
      <c r="P43" s="39">
        <v>0</v>
      </c>
      <c r="Q43" s="9">
        <v>800</v>
      </c>
      <c r="R43" s="38">
        <v>0.5</v>
      </c>
      <c r="S43" s="38">
        <f t="shared" si="10"/>
        <v>400</v>
      </c>
      <c r="T43" s="38">
        <f t="shared" si="11"/>
        <v>400</v>
      </c>
      <c r="U43" s="134">
        <v>0</v>
      </c>
      <c r="V43" s="135"/>
      <c r="W43" s="59">
        <v>0</v>
      </c>
      <c r="X43" s="59">
        <v>400</v>
      </c>
      <c r="Y43" s="59">
        <v>0</v>
      </c>
      <c r="Z43" s="60">
        <f t="shared" si="12"/>
        <v>80</v>
      </c>
      <c r="AA43" s="60">
        <f t="shared" si="13"/>
        <v>480</v>
      </c>
    </row>
    <row r="44" spans="1:168" s="3" customFormat="1" ht="15.5" x14ac:dyDescent="0.35">
      <c r="A44" s="5">
        <v>32</v>
      </c>
      <c r="B44" s="58" t="s">
        <v>306</v>
      </c>
      <c r="C44" s="42" t="s">
        <v>17</v>
      </c>
      <c r="D44" s="42" t="s">
        <v>53</v>
      </c>
      <c r="E44" s="133" t="s">
        <v>289</v>
      </c>
      <c r="F44" s="133"/>
      <c r="G44" s="131">
        <v>10</v>
      </c>
      <c r="H44" s="131">
        <v>10</v>
      </c>
      <c r="I44" s="131">
        <v>10</v>
      </c>
      <c r="J44" s="131">
        <v>10</v>
      </c>
      <c r="K44" s="131">
        <v>10</v>
      </c>
      <c r="L44" s="132">
        <v>80</v>
      </c>
      <c r="M44" s="132">
        <v>80</v>
      </c>
      <c r="N44" s="132">
        <v>80</v>
      </c>
      <c r="O44" s="132">
        <v>80</v>
      </c>
      <c r="P44" s="39">
        <v>0</v>
      </c>
      <c r="Q44" s="9">
        <v>1288</v>
      </c>
      <c r="R44" s="38">
        <v>0.5</v>
      </c>
      <c r="S44" s="38">
        <f t="shared" si="10"/>
        <v>644</v>
      </c>
      <c r="T44" s="38">
        <f t="shared" si="11"/>
        <v>644</v>
      </c>
      <c r="U44" s="134">
        <v>0</v>
      </c>
      <c r="V44" s="135"/>
      <c r="W44" s="59">
        <v>0</v>
      </c>
      <c r="X44" s="59">
        <v>400</v>
      </c>
      <c r="Y44" s="59">
        <v>0</v>
      </c>
      <c r="Z44" s="60">
        <f t="shared" si="12"/>
        <v>324</v>
      </c>
      <c r="AA44" s="60">
        <f t="shared" si="13"/>
        <v>724</v>
      </c>
    </row>
    <row r="45" spans="1:168" s="3" customFormat="1" ht="15.5" x14ac:dyDescent="0.35">
      <c r="A45" s="5">
        <v>33</v>
      </c>
      <c r="B45" s="58" t="s">
        <v>307</v>
      </c>
      <c r="C45" s="42" t="s">
        <v>17</v>
      </c>
      <c r="D45" s="42" t="s">
        <v>25</v>
      </c>
      <c r="E45" s="133" t="s">
        <v>290</v>
      </c>
      <c r="F45" s="133"/>
      <c r="G45" s="131">
        <v>10</v>
      </c>
      <c r="H45" s="131">
        <v>10</v>
      </c>
      <c r="I45" s="131">
        <v>10</v>
      </c>
      <c r="J45" s="131">
        <v>10</v>
      </c>
      <c r="K45" s="131">
        <v>10</v>
      </c>
      <c r="L45" s="132">
        <v>80</v>
      </c>
      <c r="M45" s="132">
        <v>80</v>
      </c>
      <c r="N45" s="132">
        <v>80</v>
      </c>
      <c r="O45" s="132">
        <v>80</v>
      </c>
      <c r="P45" s="39">
        <v>0</v>
      </c>
      <c r="Q45" s="9">
        <v>800</v>
      </c>
      <c r="R45" s="38">
        <v>0.5</v>
      </c>
      <c r="S45" s="38">
        <f t="shared" si="10"/>
        <v>400</v>
      </c>
      <c r="T45" s="38">
        <f t="shared" si="11"/>
        <v>400</v>
      </c>
      <c r="U45" s="134">
        <v>0</v>
      </c>
      <c r="V45" s="135"/>
      <c r="W45" s="59">
        <v>0</v>
      </c>
      <c r="X45" s="59">
        <v>400</v>
      </c>
      <c r="Y45" s="59">
        <v>0</v>
      </c>
      <c r="Z45" s="60">
        <f t="shared" si="12"/>
        <v>80</v>
      </c>
      <c r="AA45" s="60">
        <f t="shared" si="13"/>
        <v>480</v>
      </c>
    </row>
    <row r="46" spans="1:168" s="3" customFormat="1" ht="15.5" x14ac:dyDescent="0.35">
      <c r="A46" s="5">
        <v>34</v>
      </c>
      <c r="B46" s="58" t="s">
        <v>308</v>
      </c>
      <c r="C46" s="42" t="s">
        <v>17</v>
      </c>
      <c r="D46" s="42" t="s">
        <v>53</v>
      </c>
      <c r="E46" s="133" t="s">
        <v>291</v>
      </c>
      <c r="F46" s="133"/>
      <c r="G46" s="131">
        <v>10</v>
      </c>
      <c r="H46" s="131">
        <v>10</v>
      </c>
      <c r="I46" s="131">
        <v>10</v>
      </c>
      <c r="J46" s="131">
        <v>10</v>
      </c>
      <c r="K46" s="131">
        <v>10</v>
      </c>
      <c r="L46" s="132">
        <v>80</v>
      </c>
      <c r="M46" s="132">
        <v>80</v>
      </c>
      <c r="N46" s="132">
        <v>80</v>
      </c>
      <c r="O46" s="132">
        <v>80</v>
      </c>
      <c r="P46" s="39">
        <v>0</v>
      </c>
      <c r="Q46" s="9">
        <v>1288</v>
      </c>
      <c r="R46" s="38">
        <v>0.5</v>
      </c>
      <c r="S46" s="38">
        <f t="shared" si="10"/>
        <v>644</v>
      </c>
      <c r="T46" s="38">
        <f t="shared" si="11"/>
        <v>644</v>
      </c>
      <c r="U46" s="134">
        <v>0</v>
      </c>
      <c r="V46" s="135"/>
      <c r="W46" s="59">
        <v>0</v>
      </c>
      <c r="X46" s="59">
        <v>400</v>
      </c>
      <c r="Y46" s="59">
        <v>0</v>
      </c>
      <c r="Z46" s="60">
        <f t="shared" si="12"/>
        <v>324</v>
      </c>
      <c r="AA46" s="60">
        <f t="shared" si="13"/>
        <v>724</v>
      </c>
    </row>
    <row r="47" spans="1:168" s="3" customFormat="1" ht="15.5" x14ac:dyDescent="0.35">
      <c r="A47" s="5">
        <v>35</v>
      </c>
      <c r="B47" s="58" t="s">
        <v>55</v>
      </c>
      <c r="C47" s="42" t="s">
        <v>31</v>
      </c>
      <c r="D47" s="42" t="s">
        <v>53</v>
      </c>
      <c r="E47" s="133">
        <v>45339</v>
      </c>
      <c r="F47" s="133">
        <v>45339</v>
      </c>
      <c r="G47" s="131">
        <v>10</v>
      </c>
      <c r="H47" s="131">
        <v>10</v>
      </c>
      <c r="I47" s="131">
        <v>10</v>
      </c>
      <c r="J47" s="131">
        <v>10</v>
      </c>
      <c r="K47" s="131">
        <v>10</v>
      </c>
      <c r="L47" s="132">
        <v>300</v>
      </c>
      <c r="M47" s="132">
        <v>300</v>
      </c>
      <c r="N47" s="132">
        <v>300</v>
      </c>
      <c r="O47" s="132">
        <v>300</v>
      </c>
      <c r="P47" s="39">
        <v>0</v>
      </c>
      <c r="Q47" s="9">
        <v>500</v>
      </c>
      <c r="R47" s="38">
        <v>0.5</v>
      </c>
      <c r="S47" s="38">
        <f t="shared" si="10"/>
        <v>250</v>
      </c>
      <c r="T47" s="38">
        <f t="shared" si="11"/>
        <v>250</v>
      </c>
      <c r="U47" s="134">
        <v>0</v>
      </c>
      <c r="V47" s="135"/>
      <c r="W47" s="59">
        <v>0</v>
      </c>
      <c r="X47" s="59">
        <v>400</v>
      </c>
      <c r="Y47" s="59">
        <v>0</v>
      </c>
      <c r="Z47" s="60">
        <f t="shared" si="12"/>
        <v>150</v>
      </c>
      <c r="AA47" s="60">
        <f t="shared" si="13"/>
        <v>550</v>
      </c>
    </row>
    <row r="48" spans="1:168" s="3" customFormat="1" ht="15.5" x14ac:dyDescent="0.35">
      <c r="A48" s="5">
        <v>36</v>
      </c>
      <c r="B48" s="58" t="s">
        <v>55</v>
      </c>
      <c r="C48" s="42" t="s">
        <v>33</v>
      </c>
      <c r="D48" s="42" t="s">
        <v>53</v>
      </c>
      <c r="E48" s="133">
        <v>45339</v>
      </c>
      <c r="F48" s="133">
        <v>45339</v>
      </c>
      <c r="G48" s="131">
        <v>10</v>
      </c>
      <c r="H48" s="131">
        <v>10</v>
      </c>
      <c r="I48" s="131">
        <v>10</v>
      </c>
      <c r="J48" s="131">
        <v>10</v>
      </c>
      <c r="K48" s="131">
        <v>10</v>
      </c>
      <c r="L48" s="132">
        <v>300</v>
      </c>
      <c r="M48" s="132">
        <v>300</v>
      </c>
      <c r="N48" s="132">
        <v>300</v>
      </c>
      <c r="O48" s="132">
        <v>300</v>
      </c>
      <c r="P48" s="39">
        <v>0</v>
      </c>
      <c r="Q48" s="9">
        <v>500</v>
      </c>
      <c r="R48" s="38">
        <v>0.5</v>
      </c>
      <c r="S48" s="38">
        <f t="shared" si="10"/>
        <v>250</v>
      </c>
      <c r="T48" s="38">
        <f t="shared" si="11"/>
        <v>250</v>
      </c>
      <c r="U48" s="134">
        <v>0</v>
      </c>
      <c r="V48" s="135"/>
      <c r="W48" s="59">
        <v>0</v>
      </c>
      <c r="X48" s="59">
        <v>400</v>
      </c>
      <c r="Y48" s="59">
        <v>0</v>
      </c>
      <c r="Z48" s="60">
        <f t="shared" si="12"/>
        <v>150</v>
      </c>
      <c r="AA48" s="60">
        <f t="shared" si="13"/>
        <v>550</v>
      </c>
    </row>
    <row r="49" spans="1:168" s="3" customFormat="1" ht="15.5" x14ac:dyDescent="0.35">
      <c r="A49" s="5">
        <v>37</v>
      </c>
      <c r="B49" s="58" t="s">
        <v>56</v>
      </c>
      <c r="C49" s="42" t="s">
        <v>31</v>
      </c>
      <c r="D49" s="42" t="s">
        <v>25</v>
      </c>
      <c r="E49" s="133">
        <v>45353</v>
      </c>
      <c r="F49" s="133">
        <v>45353</v>
      </c>
      <c r="G49" s="131">
        <v>8</v>
      </c>
      <c r="H49" s="131">
        <v>8</v>
      </c>
      <c r="I49" s="131">
        <v>8</v>
      </c>
      <c r="J49" s="131">
        <v>8</v>
      </c>
      <c r="K49" s="131">
        <v>8</v>
      </c>
      <c r="L49" s="132">
        <v>500</v>
      </c>
      <c r="M49" s="132">
        <v>500</v>
      </c>
      <c r="N49" s="132">
        <v>500</v>
      </c>
      <c r="O49" s="132">
        <v>500</v>
      </c>
      <c r="P49" s="39">
        <v>0</v>
      </c>
      <c r="Q49" s="9">
        <v>800</v>
      </c>
      <c r="R49" s="38">
        <v>0.5</v>
      </c>
      <c r="S49" s="38">
        <f t="shared" si="10"/>
        <v>400</v>
      </c>
      <c r="T49" s="38">
        <f t="shared" si="11"/>
        <v>400</v>
      </c>
      <c r="U49" s="134">
        <v>0</v>
      </c>
      <c r="V49" s="135"/>
      <c r="W49" s="59">
        <v>0</v>
      </c>
      <c r="X49" s="59">
        <v>400</v>
      </c>
      <c r="Y49" s="59">
        <v>0</v>
      </c>
      <c r="Z49" s="60">
        <f t="shared" si="12"/>
        <v>500</v>
      </c>
      <c r="AA49" s="60">
        <f t="shared" si="13"/>
        <v>900</v>
      </c>
    </row>
    <row r="50" spans="1:168" s="3" customFormat="1" ht="15.5" x14ac:dyDescent="0.35">
      <c r="A50" s="5">
        <v>38</v>
      </c>
      <c r="B50" s="58" t="s">
        <v>57</v>
      </c>
      <c r="C50" s="42" t="s">
        <v>31</v>
      </c>
      <c r="D50" s="42" t="s">
        <v>58</v>
      </c>
      <c r="E50" s="133">
        <v>45360</v>
      </c>
      <c r="F50" s="133">
        <v>45360</v>
      </c>
      <c r="G50" s="131">
        <v>12</v>
      </c>
      <c r="H50" s="131">
        <v>12</v>
      </c>
      <c r="I50" s="131">
        <v>12</v>
      </c>
      <c r="J50" s="131">
        <v>12</v>
      </c>
      <c r="K50" s="131">
        <v>12</v>
      </c>
      <c r="L50" s="132">
        <v>400</v>
      </c>
      <c r="M50" s="132">
        <v>400</v>
      </c>
      <c r="N50" s="132">
        <v>400</v>
      </c>
      <c r="O50" s="132">
        <v>400</v>
      </c>
      <c r="P50" s="39">
        <v>0</v>
      </c>
      <c r="Q50" s="9">
        <v>600</v>
      </c>
      <c r="R50" s="38">
        <v>0.5</v>
      </c>
      <c r="S50" s="38">
        <f t="shared" si="10"/>
        <v>300</v>
      </c>
      <c r="T50" s="38">
        <f t="shared" si="11"/>
        <v>300</v>
      </c>
      <c r="U50" s="134">
        <v>0</v>
      </c>
      <c r="V50" s="135"/>
      <c r="W50" s="59">
        <v>0</v>
      </c>
      <c r="X50" s="59">
        <v>400</v>
      </c>
      <c r="Y50" s="59">
        <v>0</v>
      </c>
      <c r="Z50" s="60">
        <f t="shared" si="12"/>
        <v>300</v>
      </c>
      <c r="AA50" s="60">
        <f t="shared" si="13"/>
        <v>700</v>
      </c>
    </row>
    <row r="51" spans="1:168" s="3" customFormat="1" ht="15.5" x14ac:dyDescent="0.35">
      <c r="A51" s="5">
        <v>39</v>
      </c>
      <c r="B51" s="58" t="s">
        <v>59</v>
      </c>
      <c r="C51" s="42" t="s">
        <v>31</v>
      </c>
      <c r="D51" s="42" t="s">
        <v>25</v>
      </c>
      <c r="E51" s="133">
        <v>45367</v>
      </c>
      <c r="F51" s="133">
        <v>45367</v>
      </c>
      <c r="G51" s="131">
        <v>12</v>
      </c>
      <c r="H51" s="131">
        <v>12</v>
      </c>
      <c r="I51" s="131">
        <v>12</v>
      </c>
      <c r="J51" s="131">
        <v>12</v>
      </c>
      <c r="K51" s="131">
        <v>12</v>
      </c>
      <c r="L51" s="132">
        <v>600</v>
      </c>
      <c r="M51" s="132">
        <v>600</v>
      </c>
      <c r="N51" s="132">
        <v>600</v>
      </c>
      <c r="O51" s="132">
        <v>600</v>
      </c>
      <c r="P51" s="39">
        <v>0</v>
      </c>
      <c r="Q51" s="9">
        <v>800</v>
      </c>
      <c r="R51" s="38">
        <v>0.5</v>
      </c>
      <c r="S51" s="38">
        <f t="shared" si="10"/>
        <v>400</v>
      </c>
      <c r="T51" s="38">
        <f t="shared" si="11"/>
        <v>400</v>
      </c>
      <c r="U51" s="134">
        <v>0</v>
      </c>
      <c r="V51" s="135"/>
      <c r="W51" s="59">
        <v>0</v>
      </c>
      <c r="X51" s="59">
        <v>400</v>
      </c>
      <c r="Y51" s="59">
        <v>0</v>
      </c>
      <c r="Z51" s="60">
        <f t="shared" si="12"/>
        <v>600</v>
      </c>
      <c r="AA51" s="60">
        <f t="shared" si="13"/>
        <v>1000</v>
      </c>
    </row>
    <row r="52" spans="1:168" s="3" customFormat="1" ht="15.5" x14ac:dyDescent="0.35">
      <c r="A52" s="5">
        <v>40</v>
      </c>
      <c r="B52" s="58" t="s">
        <v>60</v>
      </c>
      <c r="C52" s="42" t="s">
        <v>31</v>
      </c>
      <c r="D52" s="42" t="s">
        <v>53</v>
      </c>
      <c r="E52" s="133">
        <v>45430</v>
      </c>
      <c r="F52" s="133">
        <v>45430</v>
      </c>
      <c r="G52" s="131">
        <v>10</v>
      </c>
      <c r="H52" s="131">
        <v>10</v>
      </c>
      <c r="I52" s="131">
        <v>10</v>
      </c>
      <c r="J52" s="131">
        <v>10</v>
      </c>
      <c r="K52" s="131">
        <v>10</v>
      </c>
      <c r="L52" s="132">
        <v>300</v>
      </c>
      <c r="M52" s="132">
        <v>300</v>
      </c>
      <c r="N52" s="132">
        <v>300</v>
      </c>
      <c r="O52" s="132">
        <v>300</v>
      </c>
      <c r="P52" s="39">
        <v>0</v>
      </c>
      <c r="Q52" s="9">
        <v>500</v>
      </c>
      <c r="R52" s="38">
        <v>0.5</v>
      </c>
      <c r="S52" s="38">
        <f t="shared" si="10"/>
        <v>250</v>
      </c>
      <c r="T52" s="38">
        <f t="shared" si="11"/>
        <v>250</v>
      </c>
      <c r="U52" s="134">
        <v>0</v>
      </c>
      <c r="V52" s="135"/>
      <c r="W52" s="59">
        <v>0</v>
      </c>
      <c r="X52" s="59">
        <v>400</v>
      </c>
      <c r="Y52" s="59">
        <v>0</v>
      </c>
      <c r="Z52" s="60">
        <f t="shared" si="12"/>
        <v>150</v>
      </c>
      <c r="AA52" s="60">
        <f t="shared" si="13"/>
        <v>550</v>
      </c>
    </row>
    <row r="53" spans="1:168" s="3" customFormat="1" ht="15.5" x14ac:dyDescent="0.35">
      <c r="A53" s="5">
        <v>41</v>
      </c>
      <c r="B53" s="58" t="s">
        <v>60</v>
      </c>
      <c r="C53" s="42" t="s">
        <v>33</v>
      </c>
      <c r="D53" s="42" t="s">
        <v>53</v>
      </c>
      <c r="E53" s="133">
        <v>45430</v>
      </c>
      <c r="F53" s="133">
        <v>45430</v>
      </c>
      <c r="G53" s="131">
        <v>5</v>
      </c>
      <c r="H53" s="131">
        <v>5</v>
      </c>
      <c r="I53" s="131">
        <v>5</v>
      </c>
      <c r="J53" s="131">
        <v>5</v>
      </c>
      <c r="K53" s="131">
        <v>5</v>
      </c>
      <c r="L53" s="132">
        <v>250</v>
      </c>
      <c r="M53" s="132">
        <v>150</v>
      </c>
      <c r="N53" s="132">
        <v>150</v>
      </c>
      <c r="O53" s="132">
        <v>150</v>
      </c>
      <c r="P53" s="39">
        <v>0</v>
      </c>
      <c r="Q53" s="9">
        <v>500</v>
      </c>
      <c r="R53" s="38">
        <v>0.5</v>
      </c>
      <c r="S53" s="38">
        <f t="shared" si="10"/>
        <v>250</v>
      </c>
      <c r="T53" s="38">
        <f t="shared" si="11"/>
        <v>250</v>
      </c>
      <c r="U53" s="134">
        <v>0</v>
      </c>
      <c r="V53" s="135"/>
      <c r="W53" s="59">
        <v>0</v>
      </c>
      <c r="X53" s="59">
        <v>400</v>
      </c>
      <c r="Y53" s="59">
        <v>0</v>
      </c>
      <c r="Z53" s="60">
        <f t="shared" si="12"/>
        <v>100</v>
      </c>
      <c r="AA53" s="60">
        <f t="shared" si="13"/>
        <v>500</v>
      </c>
    </row>
    <row r="54" spans="1:168" s="3" customFormat="1" ht="15.5" x14ac:dyDescent="0.35">
      <c r="A54" s="5">
        <v>42</v>
      </c>
      <c r="B54" s="58" t="s">
        <v>61</v>
      </c>
      <c r="C54" s="42" t="s">
        <v>31</v>
      </c>
      <c r="D54" s="42" t="s">
        <v>53</v>
      </c>
      <c r="E54" s="133">
        <v>45437</v>
      </c>
      <c r="F54" s="133">
        <v>45437</v>
      </c>
      <c r="G54" s="131">
        <v>10</v>
      </c>
      <c r="H54" s="131">
        <v>10</v>
      </c>
      <c r="I54" s="131">
        <v>10</v>
      </c>
      <c r="J54" s="131">
        <v>10</v>
      </c>
      <c r="K54" s="131">
        <v>10</v>
      </c>
      <c r="L54" s="132">
        <v>300</v>
      </c>
      <c r="M54" s="132">
        <v>300</v>
      </c>
      <c r="N54" s="132">
        <v>300</v>
      </c>
      <c r="O54" s="132">
        <v>300</v>
      </c>
      <c r="P54" s="39">
        <v>0</v>
      </c>
      <c r="Q54" s="9">
        <v>500</v>
      </c>
      <c r="R54" s="38">
        <v>0.5</v>
      </c>
      <c r="S54" s="38">
        <f t="shared" si="10"/>
        <v>250</v>
      </c>
      <c r="T54" s="38">
        <f t="shared" si="11"/>
        <v>250</v>
      </c>
      <c r="U54" s="134">
        <v>0</v>
      </c>
      <c r="V54" s="135"/>
      <c r="W54" s="59">
        <v>0</v>
      </c>
      <c r="X54" s="59">
        <v>400</v>
      </c>
      <c r="Y54" s="59">
        <v>0</v>
      </c>
      <c r="Z54" s="60">
        <f t="shared" si="12"/>
        <v>150</v>
      </c>
      <c r="AA54" s="60">
        <f t="shared" si="13"/>
        <v>550</v>
      </c>
    </row>
    <row r="55" spans="1:168" s="3" customFormat="1" ht="15.5" x14ac:dyDescent="0.35">
      <c r="A55" s="5">
        <v>43</v>
      </c>
      <c r="B55" s="58" t="s">
        <v>61</v>
      </c>
      <c r="C55" s="42" t="s">
        <v>33</v>
      </c>
      <c r="D55" s="42" t="s">
        <v>53</v>
      </c>
      <c r="E55" s="133">
        <v>45437</v>
      </c>
      <c r="F55" s="133">
        <v>45437</v>
      </c>
      <c r="G55" s="131">
        <v>10</v>
      </c>
      <c r="H55" s="131">
        <v>10</v>
      </c>
      <c r="I55" s="131">
        <v>10</v>
      </c>
      <c r="J55" s="131">
        <v>10</v>
      </c>
      <c r="K55" s="131">
        <v>10</v>
      </c>
      <c r="L55" s="132">
        <v>300</v>
      </c>
      <c r="M55" s="132">
        <v>300</v>
      </c>
      <c r="N55" s="132">
        <v>300</v>
      </c>
      <c r="O55" s="132">
        <v>300</v>
      </c>
      <c r="P55" s="39">
        <v>0</v>
      </c>
      <c r="Q55" s="9">
        <v>500</v>
      </c>
      <c r="R55" s="38">
        <v>0.5</v>
      </c>
      <c r="S55" s="38">
        <f t="shared" si="10"/>
        <v>250</v>
      </c>
      <c r="T55" s="38">
        <f t="shared" si="11"/>
        <v>250</v>
      </c>
      <c r="U55" s="134">
        <v>0</v>
      </c>
      <c r="V55" s="135"/>
      <c r="W55" s="59">
        <v>0</v>
      </c>
      <c r="X55" s="59">
        <v>400</v>
      </c>
      <c r="Y55" s="59">
        <v>0</v>
      </c>
      <c r="Z55" s="60">
        <f t="shared" si="12"/>
        <v>150</v>
      </c>
      <c r="AA55" s="60">
        <f t="shared" si="13"/>
        <v>550</v>
      </c>
    </row>
    <row r="56" spans="1:168" s="3" customFormat="1" ht="15.5" x14ac:dyDescent="0.35">
      <c r="A56" s="5">
        <v>44</v>
      </c>
      <c r="B56" s="58" t="s">
        <v>62</v>
      </c>
      <c r="C56" s="42" t="s">
        <v>31</v>
      </c>
      <c r="D56" s="42" t="s">
        <v>25</v>
      </c>
      <c r="E56" s="133">
        <v>45486</v>
      </c>
      <c r="F56" s="133">
        <v>45486</v>
      </c>
      <c r="G56" s="131">
        <v>10</v>
      </c>
      <c r="H56" s="131">
        <v>10</v>
      </c>
      <c r="I56" s="131">
        <v>10</v>
      </c>
      <c r="J56" s="131">
        <v>10</v>
      </c>
      <c r="K56" s="131">
        <v>10</v>
      </c>
      <c r="L56" s="132">
        <v>600</v>
      </c>
      <c r="M56" s="132">
        <v>600</v>
      </c>
      <c r="N56" s="132">
        <v>600</v>
      </c>
      <c r="O56" s="132">
        <v>600</v>
      </c>
      <c r="P56" s="39">
        <v>0</v>
      </c>
      <c r="Q56" s="9">
        <v>700</v>
      </c>
      <c r="R56" s="38">
        <v>0.5</v>
      </c>
      <c r="S56" s="38">
        <f t="shared" si="10"/>
        <v>350</v>
      </c>
      <c r="T56" s="38">
        <f t="shared" si="11"/>
        <v>350</v>
      </c>
      <c r="U56" s="134">
        <v>0</v>
      </c>
      <c r="V56" s="135"/>
      <c r="W56" s="59">
        <v>0</v>
      </c>
      <c r="X56" s="59">
        <v>400</v>
      </c>
      <c r="Y56" s="59">
        <v>0</v>
      </c>
      <c r="Z56" s="60">
        <f t="shared" si="12"/>
        <v>550</v>
      </c>
      <c r="AA56" s="60">
        <f t="shared" si="13"/>
        <v>950</v>
      </c>
    </row>
    <row r="57" spans="1:168" s="3" customFormat="1" ht="15.5" x14ac:dyDescent="0.35">
      <c r="A57" s="5">
        <v>45</v>
      </c>
      <c r="B57" s="58" t="s">
        <v>62</v>
      </c>
      <c r="C57" s="42" t="s">
        <v>33</v>
      </c>
      <c r="D57" s="42" t="s">
        <v>25</v>
      </c>
      <c r="E57" s="133">
        <v>45486</v>
      </c>
      <c r="F57" s="133">
        <v>45486</v>
      </c>
      <c r="G57" s="131">
        <v>10</v>
      </c>
      <c r="H57" s="131">
        <v>10</v>
      </c>
      <c r="I57" s="131">
        <v>10</v>
      </c>
      <c r="J57" s="131">
        <v>10</v>
      </c>
      <c r="K57" s="131">
        <v>10</v>
      </c>
      <c r="L57" s="132">
        <v>600</v>
      </c>
      <c r="M57" s="132">
        <v>600</v>
      </c>
      <c r="N57" s="132">
        <v>600</v>
      </c>
      <c r="O57" s="132">
        <v>600</v>
      </c>
      <c r="P57" s="39">
        <v>0</v>
      </c>
      <c r="Q57" s="9">
        <v>800</v>
      </c>
      <c r="R57" s="38">
        <v>0.5</v>
      </c>
      <c r="S57" s="38">
        <f t="shared" si="10"/>
        <v>400</v>
      </c>
      <c r="T57" s="38">
        <f t="shared" si="11"/>
        <v>400</v>
      </c>
      <c r="U57" s="134">
        <v>0</v>
      </c>
      <c r="V57" s="135"/>
      <c r="W57" s="59">
        <v>0</v>
      </c>
      <c r="X57" s="59">
        <v>400</v>
      </c>
      <c r="Y57" s="59">
        <v>0</v>
      </c>
      <c r="Z57" s="60">
        <f t="shared" si="12"/>
        <v>600</v>
      </c>
      <c r="AA57" s="60">
        <f t="shared" si="13"/>
        <v>1000</v>
      </c>
    </row>
    <row r="58" spans="1:168" s="3" customFormat="1" ht="15.5" x14ac:dyDescent="0.35">
      <c r="A58" s="5">
        <v>46</v>
      </c>
      <c r="B58" s="58" t="s">
        <v>63</v>
      </c>
      <c r="C58" s="42" t="s">
        <v>31</v>
      </c>
      <c r="D58" s="42" t="s">
        <v>53</v>
      </c>
      <c r="E58" s="133">
        <v>45584</v>
      </c>
      <c r="F58" s="133">
        <v>45584</v>
      </c>
      <c r="G58" s="131">
        <v>10</v>
      </c>
      <c r="H58" s="131">
        <v>10</v>
      </c>
      <c r="I58" s="131">
        <v>10</v>
      </c>
      <c r="J58" s="131">
        <v>10</v>
      </c>
      <c r="K58" s="131">
        <v>10</v>
      </c>
      <c r="L58" s="132">
        <v>300</v>
      </c>
      <c r="M58" s="132">
        <v>300</v>
      </c>
      <c r="N58" s="132">
        <v>300</v>
      </c>
      <c r="O58" s="132">
        <v>300</v>
      </c>
      <c r="P58" s="39">
        <v>0</v>
      </c>
      <c r="Q58" s="9">
        <v>500</v>
      </c>
      <c r="R58" s="38">
        <v>0.5</v>
      </c>
      <c r="S58" s="38">
        <f t="shared" si="10"/>
        <v>250</v>
      </c>
      <c r="T58" s="38">
        <f t="shared" si="11"/>
        <v>250</v>
      </c>
      <c r="U58" s="134">
        <v>0</v>
      </c>
      <c r="V58" s="135"/>
      <c r="W58" s="59">
        <v>0</v>
      </c>
      <c r="X58" s="59">
        <v>400</v>
      </c>
      <c r="Y58" s="59">
        <v>0</v>
      </c>
      <c r="Z58" s="60">
        <f t="shared" si="12"/>
        <v>150</v>
      </c>
      <c r="AA58" s="60">
        <f t="shared" si="13"/>
        <v>550</v>
      </c>
    </row>
    <row r="59" spans="1:168" s="3" customFormat="1" ht="15.5" x14ac:dyDescent="0.35">
      <c r="A59" s="5">
        <v>47</v>
      </c>
      <c r="B59" s="58" t="s">
        <v>63</v>
      </c>
      <c r="C59" s="42" t="s">
        <v>33</v>
      </c>
      <c r="D59" s="42" t="s">
        <v>53</v>
      </c>
      <c r="E59" s="133">
        <v>45584</v>
      </c>
      <c r="F59" s="133">
        <v>45584</v>
      </c>
      <c r="G59" s="131">
        <v>5</v>
      </c>
      <c r="H59" s="131">
        <v>5</v>
      </c>
      <c r="I59" s="131">
        <v>5</v>
      </c>
      <c r="J59" s="131">
        <v>5</v>
      </c>
      <c r="K59" s="131">
        <v>5</v>
      </c>
      <c r="L59" s="132">
        <v>250</v>
      </c>
      <c r="M59" s="132">
        <v>100</v>
      </c>
      <c r="N59" s="132">
        <v>100</v>
      </c>
      <c r="O59" s="132">
        <v>100</v>
      </c>
      <c r="P59" s="39">
        <v>0</v>
      </c>
      <c r="Q59" s="9">
        <v>500</v>
      </c>
      <c r="R59" s="38">
        <v>0.5</v>
      </c>
      <c r="S59" s="38">
        <f t="shared" si="10"/>
        <v>250</v>
      </c>
      <c r="T59" s="38">
        <f t="shared" si="11"/>
        <v>250</v>
      </c>
      <c r="U59" s="134">
        <v>0</v>
      </c>
      <c r="V59" s="135"/>
      <c r="W59" s="59">
        <v>0</v>
      </c>
      <c r="X59" s="59">
        <v>400</v>
      </c>
      <c r="Y59" s="59">
        <v>0</v>
      </c>
      <c r="Z59" s="60">
        <f t="shared" si="12"/>
        <v>100</v>
      </c>
      <c r="AA59" s="60">
        <f t="shared" si="13"/>
        <v>500</v>
      </c>
    </row>
    <row r="60" spans="1:168" s="3" customFormat="1" ht="15.5" x14ac:dyDescent="0.35">
      <c r="A60" s="5">
        <v>48</v>
      </c>
      <c r="B60" s="58" t="s">
        <v>64</v>
      </c>
      <c r="C60" s="42" t="s">
        <v>31</v>
      </c>
      <c r="D60" s="42" t="s">
        <v>53</v>
      </c>
      <c r="E60" s="133">
        <v>45591</v>
      </c>
      <c r="F60" s="133">
        <v>45591</v>
      </c>
      <c r="G60" s="131">
        <v>12</v>
      </c>
      <c r="H60" s="131">
        <v>12</v>
      </c>
      <c r="I60" s="131">
        <v>12</v>
      </c>
      <c r="J60" s="131">
        <v>12</v>
      </c>
      <c r="K60" s="131">
        <v>12</v>
      </c>
      <c r="L60" s="132">
        <v>350</v>
      </c>
      <c r="M60" s="132">
        <v>350</v>
      </c>
      <c r="N60" s="132">
        <v>350</v>
      </c>
      <c r="O60" s="132">
        <v>350</v>
      </c>
      <c r="P60" s="39">
        <v>0</v>
      </c>
      <c r="Q60" s="9">
        <v>700</v>
      </c>
      <c r="R60" s="38">
        <v>0.5</v>
      </c>
      <c r="S60" s="38">
        <f t="shared" si="10"/>
        <v>350</v>
      </c>
      <c r="T60" s="38">
        <f t="shared" si="11"/>
        <v>350</v>
      </c>
      <c r="U60" s="134">
        <v>0</v>
      </c>
      <c r="V60" s="135"/>
      <c r="W60" s="59">
        <v>0</v>
      </c>
      <c r="X60" s="59">
        <v>400</v>
      </c>
      <c r="Y60" s="59">
        <v>0</v>
      </c>
      <c r="Z60" s="60">
        <f t="shared" si="12"/>
        <v>300</v>
      </c>
      <c r="AA60" s="60">
        <f t="shared" si="13"/>
        <v>700</v>
      </c>
    </row>
    <row r="61" spans="1:168" s="3" customFormat="1" ht="15.5" x14ac:dyDescent="0.35">
      <c r="A61" s="5">
        <v>49</v>
      </c>
      <c r="B61" s="58" t="s">
        <v>64</v>
      </c>
      <c r="C61" s="42" t="s">
        <v>33</v>
      </c>
      <c r="D61" s="42" t="s">
        <v>53</v>
      </c>
      <c r="E61" s="133">
        <v>45591</v>
      </c>
      <c r="F61" s="133">
        <v>45591</v>
      </c>
      <c r="G61" s="131">
        <v>10</v>
      </c>
      <c r="H61" s="131">
        <v>10</v>
      </c>
      <c r="I61" s="131">
        <v>10</v>
      </c>
      <c r="J61" s="131">
        <v>10</v>
      </c>
      <c r="K61" s="131">
        <v>10</v>
      </c>
      <c r="L61" s="132">
        <v>300</v>
      </c>
      <c r="M61" s="132">
        <v>300</v>
      </c>
      <c r="N61" s="132">
        <v>300</v>
      </c>
      <c r="O61" s="132">
        <v>300</v>
      </c>
      <c r="P61" s="39">
        <v>0</v>
      </c>
      <c r="Q61" s="9">
        <v>500</v>
      </c>
      <c r="R61" s="38">
        <v>0.5</v>
      </c>
      <c r="S61" s="38">
        <f t="shared" si="10"/>
        <v>250</v>
      </c>
      <c r="T61" s="38">
        <f t="shared" si="11"/>
        <v>250</v>
      </c>
      <c r="U61" s="134">
        <v>0</v>
      </c>
      <c r="V61" s="135"/>
      <c r="W61" s="59">
        <v>0</v>
      </c>
      <c r="X61" s="59">
        <v>400</v>
      </c>
      <c r="Y61" s="59">
        <v>0</v>
      </c>
      <c r="Z61" s="60">
        <f t="shared" si="12"/>
        <v>150</v>
      </c>
      <c r="AA61" s="60">
        <f t="shared" si="13"/>
        <v>550</v>
      </c>
    </row>
    <row r="62" spans="1:168" s="2" customFormat="1" ht="15.5" x14ac:dyDescent="0.35">
      <c r="A62" s="126" t="s">
        <v>109</v>
      </c>
      <c r="B62" s="127"/>
      <c r="C62" s="127"/>
      <c r="D62" s="127"/>
      <c r="E62" s="127"/>
      <c r="F62" s="127"/>
      <c r="G62" s="127"/>
      <c r="H62" s="127"/>
      <c r="I62" s="127"/>
      <c r="J62" s="127"/>
      <c r="K62" s="127"/>
      <c r="L62" s="148">
        <f>SUM(L37:O61)</f>
        <v>25050</v>
      </c>
      <c r="M62" s="124"/>
      <c r="N62" s="124"/>
      <c r="O62" s="124"/>
      <c r="P62" s="124"/>
      <c r="Q62" s="124"/>
      <c r="R62" s="124"/>
      <c r="S62" s="124"/>
      <c r="T62" s="55">
        <f>SUM(T37:T61)</f>
        <v>9626</v>
      </c>
      <c r="U62" s="149">
        <f>SUM(U37:V61)</f>
        <v>0</v>
      </c>
      <c r="V62" s="124"/>
      <c r="W62" s="56">
        <f>SUM(W37:W61)</f>
        <v>0</v>
      </c>
      <c r="X62" s="11">
        <f>SUM(X37:X61)</f>
        <v>10000</v>
      </c>
      <c r="Y62" s="11">
        <f t="shared" ref="Y62:AA62" si="14">SUM(Y37:Y61)</f>
        <v>0</v>
      </c>
      <c r="Z62" s="11">
        <f t="shared" si="14"/>
        <v>6076</v>
      </c>
      <c r="AA62" s="11">
        <f t="shared" si="14"/>
        <v>16076</v>
      </c>
    </row>
    <row r="63" spans="1:168" s="75" customFormat="1" ht="15.5" x14ac:dyDescent="0.35">
      <c r="A63" s="20"/>
      <c r="B63" s="140" t="s">
        <v>112</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row>
    <row r="64" spans="1:168" s="3" customFormat="1" ht="46.5" x14ac:dyDescent="0.35">
      <c r="A64" s="37" t="s">
        <v>52</v>
      </c>
      <c r="B64" s="5" t="s">
        <v>0</v>
      </c>
      <c r="C64" s="5" t="s">
        <v>1</v>
      </c>
      <c r="D64" s="5" t="s">
        <v>2</v>
      </c>
      <c r="E64" s="5" t="s">
        <v>3</v>
      </c>
      <c r="F64" s="5" t="s">
        <v>4</v>
      </c>
      <c r="G64" s="5" t="s">
        <v>5</v>
      </c>
      <c r="H64" s="5" t="s">
        <v>6</v>
      </c>
      <c r="I64" s="5" t="s">
        <v>7</v>
      </c>
      <c r="J64" s="7" t="s">
        <v>8</v>
      </c>
      <c r="K64" s="7" t="s">
        <v>49</v>
      </c>
      <c r="L64" s="7" t="s">
        <v>9</v>
      </c>
      <c r="M64" s="5" t="s">
        <v>10</v>
      </c>
      <c r="N64" s="7" t="s">
        <v>11</v>
      </c>
      <c r="O64" s="7" t="s">
        <v>121</v>
      </c>
      <c r="P64" s="7" t="s">
        <v>12</v>
      </c>
      <c r="Q64" s="7" t="s">
        <v>13</v>
      </c>
      <c r="R64" s="7" t="s">
        <v>14</v>
      </c>
      <c r="S64" s="7" t="s">
        <v>15</v>
      </c>
      <c r="T64" s="7" t="s">
        <v>122</v>
      </c>
      <c r="U64" s="7" t="s">
        <v>16</v>
      </c>
      <c r="V64" s="7" t="s">
        <v>123</v>
      </c>
      <c r="W64" s="7" t="s">
        <v>124</v>
      </c>
      <c r="X64" s="5" t="s">
        <v>47</v>
      </c>
      <c r="Y64" s="7" t="s">
        <v>103</v>
      </c>
      <c r="Z64" s="7" t="s">
        <v>48</v>
      </c>
      <c r="AA64" s="7" t="s">
        <v>109</v>
      </c>
    </row>
    <row r="65" spans="1:27" s="3" customFormat="1" ht="15.5" x14ac:dyDescent="0.35">
      <c r="A65" s="5">
        <v>50</v>
      </c>
      <c r="B65" s="58" t="s">
        <v>296</v>
      </c>
      <c r="C65" s="43" t="s">
        <v>17</v>
      </c>
      <c r="D65" s="43" t="s">
        <v>18</v>
      </c>
      <c r="E65" s="8">
        <v>45335</v>
      </c>
      <c r="F65" s="8">
        <v>45341</v>
      </c>
      <c r="G65" s="9">
        <v>2</v>
      </c>
      <c r="H65" s="9">
        <v>2</v>
      </c>
      <c r="I65" s="9">
        <v>1</v>
      </c>
      <c r="J65" s="9">
        <v>1</v>
      </c>
      <c r="K65" s="44">
        <f t="shared" ref="K65:K84" si="15">SUM(G65:J65)</f>
        <v>6</v>
      </c>
      <c r="L65" s="39">
        <v>280</v>
      </c>
      <c r="M65" s="10" t="s">
        <v>19</v>
      </c>
      <c r="N65" s="44">
        <f t="shared" ref="N65:N84" si="16">F65-E65</f>
        <v>6</v>
      </c>
      <c r="O65" s="38">
        <f t="shared" ref="O65:O84" si="17">K65*L65*N65</f>
        <v>10080</v>
      </c>
      <c r="P65" s="39">
        <v>0</v>
      </c>
      <c r="Q65" s="9">
        <v>1200</v>
      </c>
      <c r="R65" s="38">
        <v>0.5</v>
      </c>
      <c r="S65" s="38">
        <f t="shared" ref="S65:S84" si="18">Q65*R65</f>
        <v>600</v>
      </c>
      <c r="T65" s="38">
        <f t="shared" ref="T65:T84" si="19">(P65*K65)+S65</f>
        <v>600</v>
      </c>
      <c r="U65" s="39">
        <v>330</v>
      </c>
      <c r="V65" s="45">
        <f t="shared" ref="V65:V84" si="20">U65*K65</f>
        <v>1980</v>
      </c>
      <c r="W65" s="39">
        <v>0</v>
      </c>
      <c r="X65" s="41">
        <v>9000</v>
      </c>
      <c r="Y65" s="41">
        <v>0</v>
      </c>
      <c r="Z65" s="41">
        <f>AA65-X65</f>
        <v>3660</v>
      </c>
      <c r="AA65" s="12">
        <f>O65+T65+W65+V65</f>
        <v>12660</v>
      </c>
    </row>
    <row r="66" spans="1:27" s="3" customFormat="1" ht="15.5" x14ac:dyDescent="0.35">
      <c r="A66" s="5">
        <v>51</v>
      </c>
      <c r="B66" s="58" t="s">
        <v>296</v>
      </c>
      <c r="C66" s="43" t="s">
        <v>17</v>
      </c>
      <c r="D66" s="43" t="s">
        <v>20</v>
      </c>
      <c r="E66" s="8">
        <v>45341</v>
      </c>
      <c r="F66" s="8">
        <v>45348</v>
      </c>
      <c r="G66" s="9">
        <v>2</v>
      </c>
      <c r="H66" s="9">
        <v>2</v>
      </c>
      <c r="I66" s="9">
        <v>1</v>
      </c>
      <c r="J66" s="9">
        <v>1</v>
      </c>
      <c r="K66" s="44">
        <f t="shared" si="15"/>
        <v>6</v>
      </c>
      <c r="L66" s="39">
        <v>200</v>
      </c>
      <c r="M66" s="10" t="s">
        <v>19</v>
      </c>
      <c r="N66" s="44">
        <f t="shared" si="16"/>
        <v>7</v>
      </c>
      <c r="O66" s="38">
        <f t="shared" si="17"/>
        <v>8400</v>
      </c>
      <c r="P66" s="39">
        <v>0</v>
      </c>
      <c r="Q66" s="9">
        <v>1200</v>
      </c>
      <c r="R66" s="38">
        <v>0.5</v>
      </c>
      <c r="S66" s="38">
        <f t="shared" si="18"/>
        <v>600</v>
      </c>
      <c r="T66" s="38">
        <f t="shared" si="19"/>
        <v>600</v>
      </c>
      <c r="U66" s="39">
        <v>390</v>
      </c>
      <c r="V66" s="45">
        <f t="shared" si="20"/>
        <v>2340</v>
      </c>
      <c r="W66" s="39">
        <v>0</v>
      </c>
      <c r="X66" s="41">
        <v>8500</v>
      </c>
      <c r="Y66" s="41">
        <v>0</v>
      </c>
      <c r="Z66" s="41">
        <f t="shared" ref="Z66:Z84" si="21">AA66-X66</f>
        <v>2840</v>
      </c>
      <c r="AA66" s="12">
        <f t="shared" ref="AA66:AA84" si="22">O66+T66+W66+V66</f>
        <v>11340</v>
      </c>
    </row>
    <row r="67" spans="1:27" s="3" customFormat="1" ht="15.5" x14ac:dyDescent="0.35">
      <c r="A67" s="5">
        <v>52</v>
      </c>
      <c r="B67" s="58" t="s">
        <v>296</v>
      </c>
      <c r="C67" s="43" t="s">
        <v>17</v>
      </c>
      <c r="D67" s="43" t="s">
        <v>22</v>
      </c>
      <c r="E67" s="8">
        <v>45348</v>
      </c>
      <c r="F67" s="8">
        <v>45354</v>
      </c>
      <c r="G67" s="9">
        <v>2</v>
      </c>
      <c r="H67" s="9">
        <v>2</v>
      </c>
      <c r="I67" s="9">
        <v>1</v>
      </c>
      <c r="J67" s="9">
        <v>1</v>
      </c>
      <c r="K67" s="44">
        <f t="shared" si="15"/>
        <v>6</v>
      </c>
      <c r="L67" s="39">
        <v>340</v>
      </c>
      <c r="M67" s="10" t="s">
        <v>19</v>
      </c>
      <c r="N67" s="44">
        <f t="shared" si="16"/>
        <v>6</v>
      </c>
      <c r="O67" s="38">
        <f t="shared" si="17"/>
        <v>12240</v>
      </c>
      <c r="P67" s="39">
        <v>0</v>
      </c>
      <c r="Q67" s="9">
        <v>1200</v>
      </c>
      <c r="R67" s="38">
        <v>0.5</v>
      </c>
      <c r="S67" s="38">
        <f t="shared" si="18"/>
        <v>600</v>
      </c>
      <c r="T67" s="38">
        <f t="shared" si="19"/>
        <v>600</v>
      </c>
      <c r="U67" s="39">
        <v>500</v>
      </c>
      <c r="V67" s="45">
        <f t="shared" si="20"/>
        <v>3000</v>
      </c>
      <c r="W67" s="39">
        <v>0</v>
      </c>
      <c r="X67" s="41">
        <v>10000</v>
      </c>
      <c r="Y67" s="41">
        <v>0</v>
      </c>
      <c r="Z67" s="41">
        <f t="shared" si="21"/>
        <v>5840</v>
      </c>
      <c r="AA67" s="12">
        <f t="shared" si="22"/>
        <v>15840</v>
      </c>
    </row>
    <row r="68" spans="1:27" s="3" customFormat="1" ht="15.5" x14ac:dyDescent="0.35">
      <c r="A68" s="5">
        <v>53</v>
      </c>
      <c r="B68" s="58" t="s">
        <v>296</v>
      </c>
      <c r="C68" s="43" t="s">
        <v>17</v>
      </c>
      <c r="D68" s="43" t="s">
        <v>23</v>
      </c>
      <c r="E68" s="8">
        <v>45354</v>
      </c>
      <c r="F68" s="8">
        <v>45362</v>
      </c>
      <c r="G68" s="9">
        <v>2</v>
      </c>
      <c r="H68" s="9">
        <v>2</v>
      </c>
      <c r="I68" s="9">
        <v>1</v>
      </c>
      <c r="J68" s="9">
        <v>1</v>
      </c>
      <c r="K68" s="44">
        <f t="shared" si="15"/>
        <v>6</v>
      </c>
      <c r="L68" s="39">
        <v>195</v>
      </c>
      <c r="M68" s="10" t="s">
        <v>19</v>
      </c>
      <c r="N68" s="44">
        <f t="shared" si="16"/>
        <v>8</v>
      </c>
      <c r="O68" s="38">
        <f t="shared" si="17"/>
        <v>9360</v>
      </c>
      <c r="P68" s="39">
        <v>0</v>
      </c>
      <c r="Q68" s="9">
        <v>1200</v>
      </c>
      <c r="R68" s="38">
        <v>0.5</v>
      </c>
      <c r="S68" s="38">
        <f t="shared" si="18"/>
        <v>600</v>
      </c>
      <c r="T68" s="38">
        <f t="shared" si="19"/>
        <v>600</v>
      </c>
      <c r="U68" s="39">
        <v>590</v>
      </c>
      <c r="V68" s="45">
        <f t="shared" si="20"/>
        <v>3540</v>
      </c>
      <c r="W68" s="39">
        <v>0</v>
      </c>
      <c r="X68" s="41">
        <v>10000</v>
      </c>
      <c r="Y68" s="41">
        <v>0</v>
      </c>
      <c r="Z68" s="41">
        <f t="shared" si="21"/>
        <v>3500</v>
      </c>
      <c r="AA68" s="12">
        <f t="shared" si="22"/>
        <v>13500</v>
      </c>
    </row>
    <row r="69" spans="1:27" s="3" customFormat="1" ht="15.5" x14ac:dyDescent="0.35">
      <c r="A69" s="5">
        <v>54</v>
      </c>
      <c r="B69" s="58" t="s">
        <v>303</v>
      </c>
      <c r="C69" s="43" t="s">
        <v>17</v>
      </c>
      <c r="D69" s="43" t="s">
        <v>24</v>
      </c>
      <c r="E69" s="8">
        <v>45378</v>
      </c>
      <c r="F69" s="8">
        <v>45382</v>
      </c>
      <c r="G69" s="9">
        <v>4</v>
      </c>
      <c r="H69" s="9">
        <v>3</v>
      </c>
      <c r="I69" s="9">
        <v>1</v>
      </c>
      <c r="J69" s="9">
        <v>1</v>
      </c>
      <c r="K69" s="44">
        <f t="shared" si="15"/>
        <v>9</v>
      </c>
      <c r="L69" s="39">
        <v>265</v>
      </c>
      <c r="M69" s="10" t="s">
        <v>19</v>
      </c>
      <c r="N69" s="44">
        <f t="shared" si="16"/>
        <v>4</v>
      </c>
      <c r="O69" s="38">
        <f t="shared" si="17"/>
        <v>9540</v>
      </c>
      <c r="P69" s="39">
        <v>0</v>
      </c>
      <c r="Q69" s="9">
        <v>550</v>
      </c>
      <c r="R69" s="38">
        <v>0.5</v>
      </c>
      <c r="S69" s="38">
        <f t="shared" si="18"/>
        <v>275</v>
      </c>
      <c r="T69" s="38">
        <f t="shared" si="19"/>
        <v>275</v>
      </c>
      <c r="U69" s="39">
        <v>470</v>
      </c>
      <c r="V69" s="45">
        <f t="shared" si="20"/>
        <v>4230</v>
      </c>
      <c r="W69" s="39">
        <v>0</v>
      </c>
      <c r="X69" s="41">
        <v>9700</v>
      </c>
      <c r="Y69" s="41">
        <v>0</v>
      </c>
      <c r="Z69" s="41">
        <f t="shared" si="21"/>
        <v>4345</v>
      </c>
      <c r="AA69" s="12">
        <f t="shared" si="22"/>
        <v>14045</v>
      </c>
    </row>
    <row r="70" spans="1:27" s="3" customFormat="1" ht="15.5" x14ac:dyDescent="0.35">
      <c r="A70" s="5">
        <v>55</v>
      </c>
      <c r="B70" s="58" t="s">
        <v>303</v>
      </c>
      <c r="C70" s="43" t="s">
        <v>17</v>
      </c>
      <c r="D70" s="43" t="s">
        <v>25</v>
      </c>
      <c r="E70" s="8">
        <v>45384</v>
      </c>
      <c r="F70" s="8">
        <v>45390</v>
      </c>
      <c r="G70" s="9">
        <v>4</v>
      </c>
      <c r="H70" s="9">
        <v>3</v>
      </c>
      <c r="I70" s="9">
        <v>1</v>
      </c>
      <c r="J70" s="9">
        <v>0</v>
      </c>
      <c r="K70" s="44">
        <f t="shared" si="15"/>
        <v>8</v>
      </c>
      <c r="L70" s="39">
        <v>140</v>
      </c>
      <c r="M70" s="10" t="s">
        <v>19</v>
      </c>
      <c r="N70" s="44">
        <f t="shared" si="16"/>
        <v>6</v>
      </c>
      <c r="O70" s="38">
        <f t="shared" si="17"/>
        <v>6720</v>
      </c>
      <c r="P70" s="39">
        <v>0</v>
      </c>
      <c r="Q70" s="9">
        <v>3600</v>
      </c>
      <c r="R70" s="38">
        <v>0.5</v>
      </c>
      <c r="S70" s="38">
        <f t="shared" si="18"/>
        <v>1800</v>
      </c>
      <c r="T70" s="38">
        <f t="shared" si="19"/>
        <v>1800</v>
      </c>
      <c r="U70" s="39">
        <v>0</v>
      </c>
      <c r="V70" s="45">
        <f t="shared" si="20"/>
        <v>0</v>
      </c>
      <c r="W70" s="39">
        <v>0</v>
      </c>
      <c r="X70" s="41">
        <v>5000</v>
      </c>
      <c r="Y70" s="41">
        <v>0</v>
      </c>
      <c r="Z70" s="41">
        <f t="shared" si="21"/>
        <v>3520</v>
      </c>
      <c r="AA70" s="12">
        <f t="shared" si="22"/>
        <v>8520</v>
      </c>
    </row>
    <row r="71" spans="1:27" s="3" customFormat="1" ht="15.5" x14ac:dyDescent="0.35">
      <c r="A71" s="5">
        <v>56</v>
      </c>
      <c r="B71" s="58" t="s">
        <v>35</v>
      </c>
      <c r="C71" s="43" t="s">
        <v>17</v>
      </c>
      <c r="D71" s="43" t="s">
        <v>26</v>
      </c>
      <c r="E71" s="8">
        <v>45409</v>
      </c>
      <c r="F71" s="8">
        <v>45415</v>
      </c>
      <c r="G71" s="9">
        <v>5</v>
      </c>
      <c r="H71" s="9">
        <v>3</v>
      </c>
      <c r="I71" s="9">
        <v>1</v>
      </c>
      <c r="J71" s="9">
        <v>1</v>
      </c>
      <c r="K71" s="44">
        <f t="shared" si="15"/>
        <v>10</v>
      </c>
      <c r="L71" s="39">
        <v>220</v>
      </c>
      <c r="M71" s="10" t="s">
        <v>19</v>
      </c>
      <c r="N71" s="44">
        <f t="shared" si="16"/>
        <v>6</v>
      </c>
      <c r="O71" s="38">
        <f t="shared" si="17"/>
        <v>13200</v>
      </c>
      <c r="P71" s="39">
        <v>0</v>
      </c>
      <c r="Q71" s="9">
        <v>1550</v>
      </c>
      <c r="R71" s="38">
        <v>0.5</v>
      </c>
      <c r="S71" s="38">
        <f t="shared" si="18"/>
        <v>775</v>
      </c>
      <c r="T71" s="38">
        <f t="shared" si="19"/>
        <v>775</v>
      </c>
      <c r="U71" s="39">
        <v>0</v>
      </c>
      <c r="V71" s="45">
        <f t="shared" si="20"/>
        <v>0</v>
      </c>
      <c r="W71" s="39">
        <v>0</v>
      </c>
      <c r="X71" s="41">
        <v>12500</v>
      </c>
      <c r="Y71" s="41">
        <v>0</v>
      </c>
      <c r="Z71" s="41">
        <f t="shared" si="21"/>
        <v>1475</v>
      </c>
      <c r="AA71" s="12">
        <f t="shared" si="22"/>
        <v>13975</v>
      </c>
    </row>
    <row r="72" spans="1:27" s="3" customFormat="1" ht="15.5" x14ac:dyDescent="0.35">
      <c r="A72" s="5">
        <v>57</v>
      </c>
      <c r="B72" s="58" t="s">
        <v>35</v>
      </c>
      <c r="C72" s="43" t="s">
        <v>31</v>
      </c>
      <c r="D72" s="43" t="s">
        <v>26</v>
      </c>
      <c r="E72" s="8">
        <v>45409</v>
      </c>
      <c r="F72" s="8">
        <v>45415</v>
      </c>
      <c r="G72" s="9">
        <v>5</v>
      </c>
      <c r="H72" s="9">
        <v>3</v>
      </c>
      <c r="I72" s="9">
        <v>1</v>
      </c>
      <c r="J72" s="9">
        <v>1</v>
      </c>
      <c r="K72" s="44">
        <f t="shared" si="15"/>
        <v>10</v>
      </c>
      <c r="L72" s="39">
        <v>220</v>
      </c>
      <c r="M72" s="10" t="s">
        <v>19</v>
      </c>
      <c r="N72" s="44">
        <f t="shared" si="16"/>
        <v>6</v>
      </c>
      <c r="O72" s="38">
        <f t="shared" si="17"/>
        <v>13200</v>
      </c>
      <c r="P72" s="39">
        <v>0</v>
      </c>
      <c r="Q72" s="9">
        <v>1200</v>
      </c>
      <c r="R72" s="38">
        <v>0.5</v>
      </c>
      <c r="S72" s="38">
        <f t="shared" si="18"/>
        <v>600</v>
      </c>
      <c r="T72" s="38">
        <f t="shared" si="19"/>
        <v>600</v>
      </c>
      <c r="U72" s="39">
        <v>0</v>
      </c>
      <c r="V72" s="45">
        <f t="shared" si="20"/>
        <v>0</v>
      </c>
      <c r="W72" s="39">
        <v>0</v>
      </c>
      <c r="X72" s="41">
        <v>13000</v>
      </c>
      <c r="Y72" s="41">
        <v>0</v>
      </c>
      <c r="Z72" s="41">
        <f t="shared" si="21"/>
        <v>800</v>
      </c>
      <c r="AA72" s="12">
        <f t="shared" si="22"/>
        <v>13800</v>
      </c>
    </row>
    <row r="73" spans="1:27" s="3" customFormat="1" ht="15.5" x14ac:dyDescent="0.35">
      <c r="A73" s="5">
        <v>58</v>
      </c>
      <c r="B73" s="58" t="s">
        <v>303</v>
      </c>
      <c r="C73" s="43" t="s">
        <v>17</v>
      </c>
      <c r="D73" s="43" t="s">
        <v>27</v>
      </c>
      <c r="E73" s="8">
        <v>45433</v>
      </c>
      <c r="F73" s="8">
        <v>45439</v>
      </c>
      <c r="G73" s="9">
        <v>4</v>
      </c>
      <c r="H73" s="9">
        <v>3</v>
      </c>
      <c r="I73" s="9">
        <v>1</v>
      </c>
      <c r="J73" s="9">
        <v>1</v>
      </c>
      <c r="K73" s="44">
        <f t="shared" si="15"/>
        <v>9</v>
      </c>
      <c r="L73" s="39">
        <v>140</v>
      </c>
      <c r="M73" s="10" t="s">
        <v>28</v>
      </c>
      <c r="N73" s="44">
        <f t="shared" si="16"/>
        <v>6</v>
      </c>
      <c r="O73" s="38">
        <f t="shared" si="17"/>
        <v>7560</v>
      </c>
      <c r="P73" s="39">
        <v>40</v>
      </c>
      <c r="Q73" s="9">
        <v>1900</v>
      </c>
      <c r="R73" s="38">
        <v>0.5</v>
      </c>
      <c r="S73" s="38">
        <f t="shared" si="18"/>
        <v>950</v>
      </c>
      <c r="T73" s="38">
        <f t="shared" si="19"/>
        <v>1310</v>
      </c>
      <c r="U73" s="39">
        <v>540</v>
      </c>
      <c r="V73" s="45">
        <f t="shared" si="20"/>
        <v>4860</v>
      </c>
      <c r="W73" s="39">
        <v>0</v>
      </c>
      <c r="X73" s="41">
        <v>8260</v>
      </c>
      <c r="Y73" s="41">
        <v>0</v>
      </c>
      <c r="Z73" s="41">
        <f t="shared" si="21"/>
        <v>5470</v>
      </c>
      <c r="AA73" s="12">
        <f t="shared" si="22"/>
        <v>13730</v>
      </c>
    </row>
    <row r="74" spans="1:27" s="3" customFormat="1" ht="15.5" x14ac:dyDescent="0.35">
      <c r="A74" s="5">
        <v>59</v>
      </c>
      <c r="B74" s="58" t="s">
        <v>303</v>
      </c>
      <c r="C74" s="43" t="s">
        <v>17</v>
      </c>
      <c r="D74" s="43" t="s">
        <v>29</v>
      </c>
      <c r="E74" s="8">
        <v>45440</v>
      </c>
      <c r="F74" s="8">
        <v>45445</v>
      </c>
      <c r="G74" s="9">
        <v>4</v>
      </c>
      <c r="H74" s="9">
        <v>3</v>
      </c>
      <c r="I74" s="9">
        <v>1</v>
      </c>
      <c r="J74" s="9">
        <v>1</v>
      </c>
      <c r="K74" s="44">
        <f t="shared" si="15"/>
        <v>9</v>
      </c>
      <c r="L74" s="39">
        <v>160</v>
      </c>
      <c r="M74" s="10" t="s">
        <v>28</v>
      </c>
      <c r="N74" s="44">
        <f t="shared" si="16"/>
        <v>5</v>
      </c>
      <c r="O74" s="38">
        <f t="shared" si="17"/>
        <v>7200</v>
      </c>
      <c r="P74" s="39">
        <v>50</v>
      </c>
      <c r="Q74" s="9">
        <v>2200</v>
      </c>
      <c r="R74" s="38">
        <v>0.5</v>
      </c>
      <c r="S74" s="38">
        <f t="shared" si="18"/>
        <v>1100</v>
      </c>
      <c r="T74" s="38">
        <f t="shared" si="19"/>
        <v>1550</v>
      </c>
      <c r="U74" s="39">
        <v>0</v>
      </c>
      <c r="V74" s="45">
        <f t="shared" si="20"/>
        <v>0</v>
      </c>
      <c r="W74" s="39">
        <v>0</v>
      </c>
      <c r="X74" s="41">
        <v>2270</v>
      </c>
      <c r="Y74" s="41">
        <v>0</v>
      </c>
      <c r="Z74" s="41">
        <f t="shared" si="21"/>
        <v>6480</v>
      </c>
      <c r="AA74" s="12">
        <f t="shared" si="22"/>
        <v>8750</v>
      </c>
    </row>
    <row r="75" spans="1:27" s="3" customFormat="1" ht="15.5" x14ac:dyDescent="0.35">
      <c r="A75" s="5">
        <v>60</v>
      </c>
      <c r="B75" s="58" t="s">
        <v>303</v>
      </c>
      <c r="C75" s="43" t="s">
        <v>17</v>
      </c>
      <c r="D75" s="43" t="s">
        <v>30</v>
      </c>
      <c r="E75" s="8">
        <v>45567</v>
      </c>
      <c r="F75" s="8">
        <v>45571</v>
      </c>
      <c r="G75" s="9">
        <v>4</v>
      </c>
      <c r="H75" s="9">
        <v>3</v>
      </c>
      <c r="I75" s="9">
        <v>1</v>
      </c>
      <c r="J75" s="9">
        <v>1</v>
      </c>
      <c r="K75" s="44">
        <f t="shared" si="15"/>
        <v>9</v>
      </c>
      <c r="L75" s="39">
        <v>200</v>
      </c>
      <c r="M75" s="10" t="s">
        <v>19</v>
      </c>
      <c r="N75" s="44">
        <f t="shared" si="16"/>
        <v>4</v>
      </c>
      <c r="O75" s="38">
        <f t="shared" si="17"/>
        <v>7200</v>
      </c>
      <c r="P75" s="39">
        <v>0</v>
      </c>
      <c r="Q75" s="9">
        <v>2500</v>
      </c>
      <c r="R75" s="38">
        <v>0.5</v>
      </c>
      <c r="S75" s="38">
        <f t="shared" si="18"/>
        <v>1250</v>
      </c>
      <c r="T75" s="38">
        <f t="shared" si="19"/>
        <v>1250</v>
      </c>
      <c r="U75" s="39">
        <v>0</v>
      </c>
      <c r="V75" s="45">
        <f t="shared" si="20"/>
        <v>0</v>
      </c>
      <c r="W75" s="39">
        <v>0</v>
      </c>
      <c r="X75" s="41">
        <v>8000</v>
      </c>
      <c r="Y75" s="41">
        <v>0</v>
      </c>
      <c r="Z75" s="41">
        <f t="shared" si="21"/>
        <v>450</v>
      </c>
      <c r="AA75" s="12">
        <f t="shared" si="22"/>
        <v>8450</v>
      </c>
    </row>
    <row r="76" spans="1:27" s="3" customFormat="1" ht="15.5" x14ac:dyDescent="0.35">
      <c r="A76" s="5">
        <v>61</v>
      </c>
      <c r="B76" s="58" t="s">
        <v>312</v>
      </c>
      <c r="C76" s="43" t="s">
        <v>17</v>
      </c>
      <c r="D76" s="43" t="s">
        <v>65</v>
      </c>
      <c r="E76" s="8">
        <v>45387</v>
      </c>
      <c r="F76" s="8">
        <v>45389</v>
      </c>
      <c r="G76" s="9">
        <v>3</v>
      </c>
      <c r="H76" s="9">
        <v>2</v>
      </c>
      <c r="I76" s="9">
        <v>1</v>
      </c>
      <c r="J76" s="9">
        <v>1</v>
      </c>
      <c r="K76" s="44">
        <f t="shared" si="15"/>
        <v>7</v>
      </c>
      <c r="L76" s="39">
        <v>130</v>
      </c>
      <c r="M76" s="10" t="s">
        <v>19</v>
      </c>
      <c r="N76" s="44">
        <f t="shared" si="16"/>
        <v>2</v>
      </c>
      <c r="O76" s="38">
        <f t="shared" si="17"/>
        <v>1820</v>
      </c>
      <c r="P76" s="39">
        <v>0</v>
      </c>
      <c r="Q76" s="9">
        <v>1000</v>
      </c>
      <c r="R76" s="38">
        <v>0.5</v>
      </c>
      <c r="S76" s="38">
        <f t="shared" si="18"/>
        <v>500</v>
      </c>
      <c r="T76" s="38">
        <f t="shared" si="19"/>
        <v>500</v>
      </c>
      <c r="U76" s="39">
        <v>0</v>
      </c>
      <c r="V76" s="45">
        <f t="shared" si="20"/>
        <v>0</v>
      </c>
      <c r="W76" s="39">
        <v>0</v>
      </c>
      <c r="X76" s="41">
        <v>2100</v>
      </c>
      <c r="Y76" s="41">
        <v>0</v>
      </c>
      <c r="Z76" s="41">
        <f t="shared" si="21"/>
        <v>220</v>
      </c>
      <c r="AA76" s="12">
        <f t="shared" si="22"/>
        <v>2320</v>
      </c>
    </row>
    <row r="77" spans="1:27" s="3" customFormat="1" ht="15.5" x14ac:dyDescent="0.35">
      <c r="A77" s="5">
        <v>62</v>
      </c>
      <c r="B77" s="58" t="s">
        <v>312</v>
      </c>
      <c r="C77" s="43" t="s">
        <v>31</v>
      </c>
      <c r="D77" s="43" t="s">
        <v>65</v>
      </c>
      <c r="E77" s="8">
        <v>45382</v>
      </c>
      <c r="F77" s="8">
        <v>45384</v>
      </c>
      <c r="G77" s="9">
        <v>3</v>
      </c>
      <c r="H77" s="9">
        <v>2</v>
      </c>
      <c r="I77" s="9">
        <v>1</v>
      </c>
      <c r="J77" s="9">
        <v>0</v>
      </c>
      <c r="K77" s="44">
        <f t="shared" si="15"/>
        <v>6</v>
      </c>
      <c r="L77" s="39">
        <v>130</v>
      </c>
      <c r="M77" s="10" t="s">
        <v>19</v>
      </c>
      <c r="N77" s="44">
        <f t="shared" si="16"/>
        <v>2</v>
      </c>
      <c r="O77" s="38">
        <f t="shared" si="17"/>
        <v>1560</v>
      </c>
      <c r="P77" s="39">
        <v>0</v>
      </c>
      <c r="Q77" s="9">
        <v>1000</v>
      </c>
      <c r="R77" s="38">
        <v>0.5</v>
      </c>
      <c r="S77" s="38">
        <f t="shared" si="18"/>
        <v>500</v>
      </c>
      <c r="T77" s="38">
        <f t="shared" si="19"/>
        <v>500</v>
      </c>
      <c r="U77" s="39">
        <v>0</v>
      </c>
      <c r="V77" s="45">
        <f t="shared" si="20"/>
        <v>0</v>
      </c>
      <c r="W77" s="39">
        <v>0</v>
      </c>
      <c r="X77" s="41">
        <v>1500</v>
      </c>
      <c r="Y77" s="41">
        <v>0</v>
      </c>
      <c r="Z77" s="41">
        <f t="shared" si="21"/>
        <v>560</v>
      </c>
      <c r="AA77" s="12">
        <f t="shared" si="22"/>
        <v>2060</v>
      </c>
    </row>
    <row r="78" spans="1:27" s="3" customFormat="1" ht="15.5" x14ac:dyDescent="0.35">
      <c r="A78" s="5">
        <v>63</v>
      </c>
      <c r="B78" s="58" t="s">
        <v>312</v>
      </c>
      <c r="C78" s="43" t="s">
        <v>17</v>
      </c>
      <c r="D78" s="43" t="s">
        <v>45</v>
      </c>
      <c r="E78" s="8">
        <v>45449</v>
      </c>
      <c r="F78" s="8">
        <v>45452</v>
      </c>
      <c r="G78" s="9">
        <v>3</v>
      </c>
      <c r="H78" s="9">
        <v>2</v>
      </c>
      <c r="I78" s="9">
        <v>1</v>
      </c>
      <c r="J78" s="9">
        <v>0</v>
      </c>
      <c r="K78" s="44">
        <f t="shared" si="15"/>
        <v>6</v>
      </c>
      <c r="L78" s="39">
        <v>100</v>
      </c>
      <c r="M78" s="10" t="s">
        <v>19</v>
      </c>
      <c r="N78" s="44">
        <f t="shared" si="16"/>
        <v>3</v>
      </c>
      <c r="O78" s="38">
        <f t="shared" si="17"/>
        <v>1800</v>
      </c>
      <c r="P78" s="39">
        <v>0</v>
      </c>
      <c r="Q78" s="9">
        <v>1000</v>
      </c>
      <c r="R78" s="38">
        <v>0.5</v>
      </c>
      <c r="S78" s="38">
        <f t="shared" si="18"/>
        <v>500</v>
      </c>
      <c r="T78" s="38">
        <f t="shared" si="19"/>
        <v>500</v>
      </c>
      <c r="U78" s="39">
        <v>0</v>
      </c>
      <c r="V78" s="45">
        <f t="shared" si="20"/>
        <v>0</v>
      </c>
      <c r="W78" s="39">
        <v>0</v>
      </c>
      <c r="X78" s="41">
        <v>2100</v>
      </c>
      <c r="Y78" s="41">
        <v>0</v>
      </c>
      <c r="Z78" s="41">
        <f t="shared" si="21"/>
        <v>200</v>
      </c>
      <c r="AA78" s="12">
        <f t="shared" si="22"/>
        <v>2300</v>
      </c>
    </row>
    <row r="79" spans="1:27" s="3" customFormat="1" ht="15.5" x14ac:dyDescent="0.35">
      <c r="A79" s="5">
        <v>64</v>
      </c>
      <c r="B79" s="58" t="s">
        <v>312</v>
      </c>
      <c r="C79" s="43" t="s">
        <v>31</v>
      </c>
      <c r="D79" s="43" t="s">
        <v>45</v>
      </c>
      <c r="E79" s="8">
        <v>45449</v>
      </c>
      <c r="F79" s="8">
        <v>45452</v>
      </c>
      <c r="G79" s="9">
        <v>3</v>
      </c>
      <c r="H79" s="9">
        <v>2</v>
      </c>
      <c r="I79" s="9">
        <v>0</v>
      </c>
      <c r="J79" s="9">
        <v>1</v>
      </c>
      <c r="K79" s="44">
        <f t="shared" si="15"/>
        <v>6</v>
      </c>
      <c r="L79" s="39">
        <v>100</v>
      </c>
      <c r="M79" s="10" t="s">
        <v>19</v>
      </c>
      <c r="N79" s="44">
        <f t="shared" si="16"/>
        <v>3</v>
      </c>
      <c r="O79" s="38">
        <f t="shared" si="17"/>
        <v>1800</v>
      </c>
      <c r="P79" s="39">
        <v>0</v>
      </c>
      <c r="Q79" s="9">
        <v>800</v>
      </c>
      <c r="R79" s="38">
        <v>0.5</v>
      </c>
      <c r="S79" s="38">
        <f t="shared" si="18"/>
        <v>400</v>
      </c>
      <c r="T79" s="38">
        <f t="shared" si="19"/>
        <v>400</v>
      </c>
      <c r="U79" s="39">
        <v>0</v>
      </c>
      <c r="V79" s="45">
        <f t="shared" si="20"/>
        <v>0</v>
      </c>
      <c r="W79" s="39">
        <v>0</v>
      </c>
      <c r="X79" s="41">
        <v>1890</v>
      </c>
      <c r="Y79" s="41">
        <v>0</v>
      </c>
      <c r="Z79" s="41">
        <f t="shared" si="21"/>
        <v>310</v>
      </c>
      <c r="AA79" s="12">
        <f t="shared" si="22"/>
        <v>2200</v>
      </c>
    </row>
    <row r="80" spans="1:27" s="3" customFormat="1" ht="15.5" x14ac:dyDescent="0.35">
      <c r="A80" s="5">
        <v>65</v>
      </c>
      <c r="B80" s="58" t="s">
        <v>312</v>
      </c>
      <c r="C80" s="43" t="s">
        <v>31</v>
      </c>
      <c r="D80" s="43" t="s">
        <v>66</v>
      </c>
      <c r="E80" s="8">
        <v>45394</v>
      </c>
      <c r="F80" s="8">
        <v>45396</v>
      </c>
      <c r="G80" s="9">
        <v>6</v>
      </c>
      <c r="H80" s="9">
        <v>4</v>
      </c>
      <c r="I80" s="9">
        <v>1</v>
      </c>
      <c r="J80" s="9">
        <v>0</v>
      </c>
      <c r="K80" s="44">
        <f t="shared" si="15"/>
        <v>11</v>
      </c>
      <c r="L80" s="39">
        <v>100</v>
      </c>
      <c r="M80" s="10" t="s">
        <v>19</v>
      </c>
      <c r="N80" s="44">
        <f t="shared" si="16"/>
        <v>2</v>
      </c>
      <c r="O80" s="38">
        <f t="shared" si="17"/>
        <v>2200</v>
      </c>
      <c r="P80" s="39">
        <v>0</v>
      </c>
      <c r="Q80" s="9">
        <v>2000</v>
      </c>
      <c r="R80" s="38">
        <v>0.5</v>
      </c>
      <c r="S80" s="38">
        <f t="shared" si="18"/>
        <v>1000</v>
      </c>
      <c r="T80" s="38">
        <f t="shared" si="19"/>
        <v>1000</v>
      </c>
      <c r="U80" s="39">
        <v>0</v>
      </c>
      <c r="V80" s="45">
        <f t="shared" si="20"/>
        <v>0</v>
      </c>
      <c r="W80" s="39">
        <v>0</v>
      </c>
      <c r="X80" s="41">
        <v>2720</v>
      </c>
      <c r="Y80" s="41">
        <v>0</v>
      </c>
      <c r="Z80" s="41">
        <f t="shared" si="21"/>
        <v>480</v>
      </c>
      <c r="AA80" s="12">
        <f t="shared" si="22"/>
        <v>3200</v>
      </c>
    </row>
    <row r="81" spans="1:168" s="3" customFormat="1" ht="15.5" x14ac:dyDescent="0.35">
      <c r="A81" s="5">
        <v>66</v>
      </c>
      <c r="B81" s="58" t="s">
        <v>312</v>
      </c>
      <c r="C81" s="43" t="s">
        <v>33</v>
      </c>
      <c r="D81" s="43" t="s">
        <v>67</v>
      </c>
      <c r="E81" s="8">
        <v>45401</v>
      </c>
      <c r="F81" s="8">
        <v>45403</v>
      </c>
      <c r="G81" s="9">
        <v>4</v>
      </c>
      <c r="H81" s="9">
        <v>3</v>
      </c>
      <c r="I81" s="9">
        <v>1</v>
      </c>
      <c r="J81" s="9">
        <v>0</v>
      </c>
      <c r="K81" s="44">
        <f t="shared" si="15"/>
        <v>8</v>
      </c>
      <c r="L81" s="39">
        <v>150</v>
      </c>
      <c r="M81" s="10" t="s">
        <v>19</v>
      </c>
      <c r="N81" s="44">
        <f t="shared" si="16"/>
        <v>2</v>
      </c>
      <c r="O81" s="38">
        <f t="shared" si="17"/>
        <v>2400</v>
      </c>
      <c r="P81" s="39">
        <v>0</v>
      </c>
      <c r="Q81" s="9">
        <v>2500</v>
      </c>
      <c r="R81" s="38">
        <v>0.5</v>
      </c>
      <c r="S81" s="38">
        <f t="shared" si="18"/>
        <v>1250</v>
      </c>
      <c r="T81" s="38">
        <f t="shared" si="19"/>
        <v>1250</v>
      </c>
      <c r="U81" s="39">
        <v>0</v>
      </c>
      <c r="V81" s="45">
        <f t="shared" si="20"/>
        <v>0</v>
      </c>
      <c r="W81" s="39">
        <v>0</v>
      </c>
      <c r="X81" s="41">
        <v>2060</v>
      </c>
      <c r="Y81" s="41">
        <v>0</v>
      </c>
      <c r="Z81" s="41">
        <f t="shared" si="21"/>
        <v>1590</v>
      </c>
      <c r="AA81" s="12">
        <f t="shared" si="22"/>
        <v>3650</v>
      </c>
    </row>
    <row r="82" spans="1:168" s="3" customFormat="1" ht="15.5" x14ac:dyDescent="0.35">
      <c r="A82" s="5">
        <v>67</v>
      </c>
      <c r="B82" s="58" t="s">
        <v>313</v>
      </c>
      <c r="C82" s="43" t="s">
        <v>33</v>
      </c>
      <c r="D82" s="43" t="s">
        <v>43</v>
      </c>
      <c r="E82" s="8">
        <v>45625</v>
      </c>
      <c r="F82" s="8">
        <v>45627</v>
      </c>
      <c r="G82" s="9">
        <v>4</v>
      </c>
      <c r="H82" s="9">
        <v>3</v>
      </c>
      <c r="I82" s="9">
        <v>1</v>
      </c>
      <c r="J82" s="9">
        <v>0</v>
      </c>
      <c r="K82" s="44">
        <f t="shared" si="15"/>
        <v>8</v>
      </c>
      <c r="L82" s="39">
        <v>100</v>
      </c>
      <c r="M82" s="10" t="s">
        <v>19</v>
      </c>
      <c r="N82" s="44">
        <f t="shared" si="16"/>
        <v>2</v>
      </c>
      <c r="O82" s="38">
        <f t="shared" si="17"/>
        <v>1600</v>
      </c>
      <c r="P82" s="39">
        <v>0</v>
      </c>
      <c r="Q82" s="9">
        <v>2000</v>
      </c>
      <c r="R82" s="38">
        <v>0.5</v>
      </c>
      <c r="S82" s="38">
        <f t="shared" si="18"/>
        <v>1000</v>
      </c>
      <c r="T82" s="38">
        <f t="shared" si="19"/>
        <v>1000</v>
      </c>
      <c r="U82" s="39">
        <v>0</v>
      </c>
      <c r="V82" s="45">
        <f t="shared" si="20"/>
        <v>0</v>
      </c>
      <c r="W82" s="39">
        <v>0</v>
      </c>
      <c r="X82" s="41">
        <v>2000</v>
      </c>
      <c r="Y82" s="41">
        <v>0</v>
      </c>
      <c r="Z82" s="41">
        <f t="shared" si="21"/>
        <v>600</v>
      </c>
      <c r="AA82" s="12">
        <f t="shared" si="22"/>
        <v>2600</v>
      </c>
    </row>
    <row r="83" spans="1:168" s="3" customFormat="1" ht="15.5" x14ac:dyDescent="0.35">
      <c r="A83" s="5">
        <v>68</v>
      </c>
      <c r="B83" s="58" t="s">
        <v>39</v>
      </c>
      <c r="C83" s="43" t="s">
        <v>31</v>
      </c>
      <c r="D83" s="43" t="s">
        <v>68</v>
      </c>
      <c r="E83" s="8">
        <v>45552</v>
      </c>
      <c r="F83" s="8">
        <v>45557</v>
      </c>
      <c r="G83" s="9">
        <v>2</v>
      </c>
      <c r="H83" s="9">
        <v>1</v>
      </c>
      <c r="I83" s="9">
        <v>1</v>
      </c>
      <c r="J83" s="9">
        <v>1</v>
      </c>
      <c r="K83" s="44">
        <f t="shared" si="15"/>
        <v>5</v>
      </c>
      <c r="L83" s="39">
        <v>130</v>
      </c>
      <c r="M83" s="10" t="s">
        <v>19</v>
      </c>
      <c r="N83" s="44">
        <f t="shared" si="16"/>
        <v>5</v>
      </c>
      <c r="O83" s="38">
        <f t="shared" si="17"/>
        <v>3250</v>
      </c>
      <c r="P83" s="39">
        <v>0</v>
      </c>
      <c r="Q83" s="9">
        <v>800</v>
      </c>
      <c r="R83" s="38">
        <v>0.5</v>
      </c>
      <c r="S83" s="38">
        <f t="shared" si="18"/>
        <v>400</v>
      </c>
      <c r="T83" s="38">
        <f t="shared" si="19"/>
        <v>400</v>
      </c>
      <c r="U83" s="39">
        <v>350</v>
      </c>
      <c r="V83" s="45">
        <f t="shared" si="20"/>
        <v>1750</v>
      </c>
      <c r="W83" s="39">
        <v>0</v>
      </c>
      <c r="X83" s="41">
        <v>5000</v>
      </c>
      <c r="Y83" s="41">
        <v>0</v>
      </c>
      <c r="Z83" s="41">
        <f t="shared" si="21"/>
        <v>400</v>
      </c>
      <c r="AA83" s="12">
        <f t="shared" si="22"/>
        <v>5400</v>
      </c>
    </row>
    <row r="84" spans="1:168" s="3" customFormat="1" ht="15.5" x14ac:dyDescent="0.35">
      <c r="A84" s="5">
        <v>69</v>
      </c>
      <c r="B84" s="58" t="s">
        <v>39</v>
      </c>
      <c r="C84" s="43" t="s">
        <v>33</v>
      </c>
      <c r="D84" s="43" t="s">
        <v>68</v>
      </c>
      <c r="E84" s="8">
        <v>45552</v>
      </c>
      <c r="F84" s="8">
        <v>45557</v>
      </c>
      <c r="G84" s="9">
        <v>2</v>
      </c>
      <c r="H84" s="9">
        <v>2</v>
      </c>
      <c r="I84" s="9">
        <v>1</v>
      </c>
      <c r="J84" s="9">
        <v>0</v>
      </c>
      <c r="K84" s="44">
        <f t="shared" si="15"/>
        <v>5</v>
      </c>
      <c r="L84" s="39">
        <v>130</v>
      </c>
      <c r="M84" s="10" t="s">
        <v>19</v>
      </c>
      <c r="N84" s="44">
        <f t="shared" si="16"/>
        <v>5</v>
      </c>
      <c r="O84" s="38">
        <f t="shared" si="17"/>
        <v>3250</v>
      </c>
      <c r="P84" s="39">
        <v>0</v>
      </c>
      <c r="Q84" s="9">
        <v>800</v>
      </c>
      <c r="R84" s="38">
        <v>0.5</v>
      </c>
      <c r="S84" s="38">
        <f t="shared" si="18"/>
        <v>400</v>
      </c>
      <c r="T84" s="38">
        <f t="shared" si="19"/>
        <v>400</v>
      </c>
      <c r="U84" s="39">
        <v>0</v>
      </c>
      <c r="V84" s="45">
        <f t="shared" si="20"/>
        <v>0</v>
      </c>
      <c r="W84" s="39">
        <v>0</v>
      </c>
      <c r="X84" s="41">
        <v>3000</v>
      </c>
      <c r="Y84" s="41">
        <v>0</v>
      </c>
      <c r="Z84" s="41">
        <f t="shared" si="21"/>
        <v>650</v>
      </c>
      <c r="AA84" s="12">
        <f t="shared" si="22"/>
        <v>3650</v>
      </c>
    </row>
    <row r="85" spans="1:168" s="2" customFormat="1" ht="15.5" x14ac:dyDescent="0.35">
      <c r="A85" s="126" t="s">
        <v>109</v>
      </c>
      <c r="B85" s="127"/>
      <c r="C85" s="127"/>
      <c r="D85" s="127"/>
      <c r="E85" s="127"/>
      <c r="F85" s="127"/>
      <c r="G85" s="127"/>
      <c r="H85" s="127"/>
      <c r="I85" s="127"/>
      <c r="J85" s="127"/>
      <c r="K85" s="127"/>
      <c r="L85" s="127"/>
      <c r="M85" s="127"/>
      <c r="N85" s="128"/>
      <c r="O85" s="52">
        <f>SUM(O65:O84)</f>
        <v>124380</v>
      </c>
      <c r="P85" s="123"/>
      <c r="Q85" s="124"/>
      <c r="R85" s="124"/>
      <c r="S85" s="125"/>
      <c r="T85" s="53">
        <f>SUM(T65:T84)</f>
        <v>15910</v>
      </c>
      <c r="U85" s="54"/>
      <c r="V85" s="53">
        <f>SUM(V65:V84)</f>
        <v>21700</v>
      </c>
      <c r="W85" s="53">
        <f>SUM(W61:W84)</f>
        <v>0</v>
      </c>
      <c r="X85" s="11">
        <f>SUM(X65:X84)</f>
        <v>118600</v>
      </c>
      <c r="Y85" s="11">
        <f t="shared" ref="Y85:AA85" si="23">SUM(Y65:Y84)</f>
        <v>0</v>
      </c>
      <c r="Z85" s="11">
        <f t="shared" si="23"/>
        <v>43390</v>
      </c>
      <c r="AA85" s="11">
        <f t="shared" si="23"/>
        <v>161990</v>
      </c>
    </row>
    <row r="86" spans="1:168" s="75" customFormat="1" ht="15.5" x14ac:dyDescent="0.35">
      <c r="A86" s="20"/>
      <c r="B86" s="121" t="s">
        <v>113</v>
      </c>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row>
    <row r="87" spans="1:168" s="3" customFormat="1" ht="58" customHeight="1" x14ac:dyDescent="0.35">
      <c r="A87" s="37" t="s">
        <v>52</v>
      </c>
      <c r="B87" s="5" t="s">
        <v>0</v>
      </c>
      <c r="C87" s="5" t="s">
        <v>1</v>
      </c>
      <c r="D87" s="5" t="s">
        <v>2</v>
      </c>
      <c r="E87" s="129" t="s">
        <v>50</v>
      </c>
      <c r="F87" s="129"/>
      <c r="G87" s="129" t="s">
        <v>51</v>
      </c>
      <c r="H87" s="129"/>
      <c r="I87" s="129"/>
      <c r="J87" s="129"/>
      <c r="K87" s="129"/>
      <c r="L87" s="130" t="s">
        <v>121</v>
      </c>
      <c r="M87" s="130"/>
      <c r="N87" s="130"/>
      <c r="O87" s="130"/>
      <c r="P87" s="13" t="s">
        <v>12</v>
      </c>
      <c r="Q87" s="7" t="s">
        <v>13</v>
      </c>
      <c r="R87" s="7" t="s">
        <v>14</v>
      </c>
      <c r="S87" s="7" t="s">
        <v>15</v>
      </c>
      <c r="T87" s="7" t="s">
        <v>122</v>
      </c>
      <c r="U87" s="109" t="s">
        <v>124</v>
      </c>
      <c r="V87" s="110"/>
      <c r="W87" s="7" t="s">
        <v>125</v>
      </c>
      <c r="X87" s="5" t="s">
        <v>47</v>
      </c>
      <c r="Y87" s="7" t="s">
        <v>103</v>
      </c>
      <c r="Z87" s="7" t="s">
        <v>48</v>
      </c>
      <c r="AA87" s="7" t="s">
        <v>109</v>
      </c>
    </row>
    <row r="88" spans="1:168" s="3" customFormat="1" ht="15.5" x14ac:dyDescent="0.35">
      <c r="A88" s="5">
        <v>70</v>
      </c>
      <c r="B88" s="69" t="s">
        <v>69</v>
      </c>
      <c r="C88" s="43" t="s">
        <v>17</v>
      </c>
      <c r="D88" s="43" t="s">
        <v>53</v>
      </c>
      <c r="E88" s="133">
        <v>45304</v>
      </c>
      <c r="F88" s="133">
        <v>45304</v>
      </c>
      <c r="G88" s="136">
        <v>10</v>
      </c>
      <c r="H88" s="137"/>
      <c r="I88" s="137"/>
      <c r="J88" s="137"/>
      <c r="K88" s="138"/>
      <c r="L88" s="139">
        <v>200</v>
      </c>
      <c r="M88" s="139">
        <v>80</v>
      </c>
      <c r="N88" s="139">
        <v>80</v>
      </c>
      <c r="O88" s="139">
        <v>80</v>
      </c>
      <c r="P88" s="39">
        <v>26</v>
      </c>
      <c r="Q88" s="9">
        <v>300</v>
      </c>
      <c r="R88" s="38">
        <v>0.5</v>
      </c>
      <c r="S88" s="38">
        <f t="shared" ref="S88:S103" si="24">Q88*R88</f>
        <v>150</v>
      </c>
      <c r="T88" s="38">
        <f>L88+P88+S88</f>
        <v>376</v>
      </c>
      <c r="U88" s="134">
        <v>0</v>
      </c>
      <c r="V88" s="135"/>
      <c r="W88" s="41">
        <v>0</v>
      </c>
      <c r="X88" s="41">
        <v>400</v>
      </c>
      <c r="Y88" s="41">
        <v>0</v>
      </c>
      <c r="Z88" s="41">
        <f>AA88-X88</f>
        <v>176</v>
      </c>
      <c r="AA88" s="41">
        <f>L88+T88+U88+W88</f>
        <v>576</v>
      </c>
    </row>
    <row r="89" spans="1:168" s="3" customFormat="1" ht="15.5" x14ac:dyDescent="0.35">
      <c r="A89" s="5">
        <v>71</v>
      </c>
      <c r="B89" s="69" t="s">
        <v>70</v>
      </c>
      <c r="C89" s="43" t="s">
        <v>17</v>
      </c>
      <c r="D89" s="43" t="s">
        <v>53</v>
      </c>
      <c r="E89" s="133">
        <v>45311</v>
      </c>
      <c r="F89" s="133">
        <v>45311</v>
      </c>
      <c r="G89" s="136">
        <v>10</v>
      </c>
      <c r="H89" s="137"/>
      <c r="I89" s="137"/>
      <c r="J89" s="137"/>
      <c r="K89" s="138"/>
      <c r="L89" s="139">
        <v>200</v>
      </c>
      <c r="M89" s="139">
        <v>80</v>
      </c>
      <c r="N89" s="139">
        <v>80</v>
      </c>
      <c r="O89" s="139">
        <v>80</v>
      </c>
      <c r="P89" s="39">
        <v>26</v>
      </c>
      <c r="Q89" s="9">
        <v>300</v>
      </c>
      <c r="R89" s="38">
        <v>0.5</v>
      </c>
      <c r="S89" s="38">
        <f t="shared" si="24"/>
        <v>150</v>
      </c>
      <c r="T89" s="38">
        <f t="shared" ref="T89:T103" si="25">L89+P89+S89</f>
        <v>376</v>
      </c>
      <c r="U89" s="134">
        <v>0</v>
      </c>
      <c r="V89" s="135"/>
      <c r="W89" s="41">
        <v>0</v>
      </c>
      <c r="X89" s="41">
        <v>400</v>
      </c>
      <c r="Y89" s="41">
        <v>0</v>
      </c>
      <c r="Z89" s="41">
        <f t="shared" ref="Z89:Z103" si="26">AA89-X89</f>
        <v>176</v>
      </c>
      <c r="AA89" s="41">
        <f t="shared" ref="AA89:AA103" si="27">L89+T89+U89+W89</f>
        <v>576</v>
      </c>
    </row>
    <row r="90" spans="1:168" s="3" customFormat="1" ht="15.5" x14ac:dyDescent="0.35">
      <c r="A90" s="5">
        <v>72</v>
      </c>
      <c r="B90" s="69" t="s">
        <v>71</v>
      </c>
      <c r="C90" s="43" t="s">
        <v>17</v>
      </c>
      <c r="D90" s="43" t="s">
        <v>53</v>
      </c>
      <c r="E90" s="133">
        <v>45318</v>
      </c>
      <c r="F90" s="133">
        <v>45318</v>
      </c>
      <c r="G90" s="136">
        <v>10</v>
      </c>
      <c r="H90" s="137"/>
      <c r="I90" s="137"/>
      <c r="J90" s="137"/>
      <c r="K90" s="138"/>
      <c r="L90" s="139">
        <v>200</v>
      </c>
      <c r="M90" s="139">
        <v>80</v>
      </c>
      <c r="N90" s="139">
        <v>80</v>
      </c>
      <c r="O90" s="139">
        <v>80</v>
      </c>
      <c r="P90" s="39">
        <v>26</v>
      </c>
      <c r="Q90" s="9">
        <v>300</v>
      </c>
      <c r="R90" s="38">
        <v>0.5</v>
      </c>
      <c r="S90" s="38">
        <f t="shared" si="24"/>
        <v>150</v>
      </c>
      <c r="T90" s="38">
        <f t="shared" si="25"/>
        <v>376</v>
      </c>
      <c r="U90" s="134">
        <v>0</v>
      </c>
      <c r="V90" s="135"/>
      <c r="W90" s="41">
        <v>0</v>
      </c>
      <c r="X90" s="41">
        <v>400</v>
      </c>
      <c r="Y90" s="41">
        <v>0</v>
      </c>
      <c r="Z90" s="41">
        <f t="shared" si="26"/>
        <v>176</v>
      </c>
      <c r="AA90" s="41">
        <f t="shared" si="27"/>
        <v>576</v>
      </c>
    </row>
    <row r="91" spans="1:168" s="3" customFormat="1" ht="15.5" x14ac:dyDescent="0.35">
      <c r="A91" s="5">
        <v>73</v>
      </c>
      <c r="B91" s="69" t="s">
        <v>72</v>
      </c>
      <c r="C91" s="43" t="s">
        <v>17</v>
      </c>
      <c r="D91" s="43" t="s">
        <v>53</v>
      </c>
      <c r="E91" s="133">
        <v>45325</v>
      </c>
      <c r="F91" s="133">
        <v>45325</v>
      </c>
      <c r="G91" s="136">
        <v>10</v>
      </c>
      <c r="H91" s="137"/>
      <c r="I91" s="137"/>
      <c r="J91" s="137"/>
      <c r="K91" s="138"/>
      <c r="L91" s="139">
        <v>200</v>
      </c>
      <c r="M91" s="139">
        <v>80</v>
      </c>
      <c r="N91" s="139">
        <v>80</v>
      </c>
      <c r="O91" s="139">
        <v>80</v>
      </c>
      <c r="P91" s="39">
        <v>26</v>
      </c>
      <c r="Q91" s="9">
        <v>300</v>
      </c>
      <c r="R91" s="38">
        <v>0.5</v>
      </c>
      <c r="S91" s="38">
        <f t="shared" si="24"/>
        <v>150</v>
      </c>
      <c r="T91" s="38">
        <f t="shared" si="25"/>
        <v>376</v>
      </c>
      <c r="U91" s="134">
        <v>0</v>
      </c>
      <c r="V91" s="135"/>
      <c r="W91" s="41">
        <v>0</v>
      </c>
      <c r="X91" s="41">
        <v>400</v>
      </c>
      <c r="Y91" s="41">
        <v>0</v>
      </c>
      <c r="Z91" s="41">
        <f t="shared" si="26"/>
        <v>176</v>
      </c>
      <c r="AA91" s="41">
        <f t="shared" si="27"/>
        <v>576</v>
      </c>
    </row>
    <row r="92" spans="1:168" s="3" customFormat="1" ht="15.5" x14ac:dyDescent="0.35">
      <c r="A92" s="5">
        <v>74</v>
      </c>
      <c r="B92" s="69" t="s">
        <v>73</v>
      </c>
      <c r="C92" s="43" t="s">
        <v>17</v>
      </c>
      <c r="D92" s="43" t="s">
        <v>53</v>
      </c>
      <c r="E92" s="133">
        <v>45373</v>
      </c>
      <c r="F92" s="133">
        <v>45373</v>
      </c>
      <c r="G92" s="136">
        <v>10</v>
      </c>
      <c r="H92" s="137"/>
      <c r="I92" s="137"/>
      <c r="J92" s="137"/>
      <c r="K92" s="138"/>
      <c r="L92" s="139">
        <v>200</v>
      </c>
      <c r="M92" s="139">
        <v>80</v>
      </c>
      <c r="N92" s="139">
        <v>80</v>
      </c>
      <c r="O92" s="139">
        <v>80</v>
      </c>
      <c r="P92" s="39">
        <v>26</v>
      </c>
      <c r="Q92" s="9">
        <v>300</v>
      </c>
      <c r="R92" s="38">
        <v>0.5</v>
      </c>
      <c r="S92" s="38">
        <f t="shared" si="24"/>
        <v>150</v>
      </c>
      <c r="T92" s="38">
        <f t="shared" si="25"/>
        <v>376</v>
      </c>
      <c r="U92" s="134">
        <v>0</v>
      </c>
      <c r="V92" s="135"/>
      <c r="W92" s="41">
        <v>0</v>
      </c>
      <c r="X92" s="41">
        <v>400</v>
      </c>
      <c r="Y92" s="41">
        <v>0</v>
      </c>
      <c r="Z92" s="41">
        <f t="shared" si="26"/>
        <v>176</v>
      </c>
      <c r="AA92" s="41">
        <f t="shared" si="27"/>
        <v>576</v>
      </c>
    </row>
    <row r="93" spans="1:168" s="3" customFormat="1" ht="15.5" x14ac:dyDescent="0.35">
      <c r="A93" s="5">
        <v>75</v>
      </c>
      <c r="B93" s="69" t="s">
        <v>73</v>
      </c>
      <c r="C93" s="43" t="s">
        <v>31</v>
      </c>
      <c r="D93" s="43" t="s">
        <v>53</v>
      </c>
      <c r="E93" s="133">
        <v>45373</v>
      </c>
      <c r="F93" s="133">
        <v>45373</v>
      </c>
      <c r="G93" s="136">
        <v>10</v>
      </c>
      <c r="H93" s="137"/>
      <c r="I93" s="137"/>
      <c r="J93" s="137"/>
      <c r="K93" s="138"/>
      <c r="L93" s="139">
        <v>200</v>
      </c>
      <c r="M93" s="139">
        <v>80</v>
      </c>
      <c r="N93" s="139">
        <v>80</v>
      </c>
      <c r="O93" s="139">
        <v>80</v>
      </c>
      <c r="P93" s="39">
        <v>26</v>
      </c>
      <c r="Q93" s="9">
        <v>300</v>
      </c>
      <c r="R93" s="38">
        <v>0.5</v>
      </c>
      <c r="S93" s="38">
        <f t="shared" si="24"/>
        <v>150</v>
      </c>
      <c r="T93" s="38">
        <f t="shared" si="25"/>
        <v>376</v>
      </c>
      <c r="U93" s="134">
        <v>0</v>
      </c>
      <c r="V93" s="135"/>
      <c r="W93" s="41">
        <v>0</v>
      </c>
      <c r="X93" s="41">
        <v>400</v>
      </c>
      <c r="Y93" s="41">
        <v>0</v>
      </c>
      <c r="Z93" s="41">
        <f t="shared" si="26"/>
        <v>176</v>
      </c>
      <c r="AA93" s="41">
        <f t="shared" si="27"/>
        <v>576</v>
      </c>
    </row>
    <row r="94" spans="1:168" s="3" customFormat="1" ht="15.5" x14ac:dyDescent="0.35">
      <c r="A94" s="5">
        <v>76</v>
      </c>
      <c r="B94" s="69" t="s">
        <v>74</v>
      </c>
      <c r="C94" s="43" t="s">
        <v>17</v>
      </c>
      <c r="D94" s="43" t="s">
        <v>53</v>
      </c>
      <c r="E94" s="133">
        <v>45373</v>
      </c>
      <c r="F94" s="133">
        <v>45373</v>
      </c>
      <c r="G94" s="136">
        <v>10</v>
      </c>
      <c r="H94" s="137"/>
      <c r="I94" s="137"/>
      <c r="J94" s="137"/>
      <c r="K94" s="138"/>
      <c r="L94" s="139">
        <v>200</v>
      </c>
      <c r="M94" s="139">
        <v>80</v>
      </c>
      <c r="N94" s="139">
        <v>80</v>
      </c>
      <c r="O94" s="139">
        <v>80</v>
      </c>
      <c r="P94" s="39">
        <v>26</v>
      </c>
      <c r="Q94" s="9">
        <v>300</v>
      </c>
      <c r="R94" s="38">
        <v>0.5</v>
      </c>
      <c r="S94" s="38">
        <f t="shared" si="24"/>
        <v>150</v>
      </c>
      <c r="T94" s="38">
        <f t="shared" si="25"/>
        <v>376</v>
      </c>
      <c r="U94" s="134">
        <v>0</v>
      </c>
      <c r="V94" s="135"/>
      <c r="W94" s="41">
        <v>0</v>
      </c>
      <c r="X94" s="41">
        <v>400</v>
      </c>
      <c r="Y94" s="41">
        <v>0</v>
      </c>
      <c r="Z94" s="41">
        <f t="shared" si="26"/>
        <v>176</v>
      </c>
      <c r="AA94" s="41">
        <f t="shared" si="27"/>
        <v>576</v>
      </c>
    </row>
    <row r="95" spans="1:168" s="3" customFormat="1" ht="15.5" x14ac:dyDescent="0.35">
      <c r="A95" s="5">
        <v>77</v>
      </c>
      <c r="B95" s="69" t="s">
        <v>75</v>
      </c>
      <c r="C95" s="43" t="s">
        <v>17</v>
      </c>
      <c r="D95" s="43" t="s">
        <v>53</v>
      </c>
      <c r="E95" s="133">
        <v>45383</v>
      </c>
      <c r="F95" s="133">
        <v>45383</v>
      </c>
      <c r="G95" s="136">
        <v>10</v>
      </c>
      <c r="H95" s="137"/>
      <c r="I95" s="137"/>
      <c r="J95" s="137"/>
      <c r="K95" s="138"/>
      <c r="L95" s="139">
        <v>200</v>
      </c>
      <c r="M95" s="139">
        <v>80</v>
      </c>
      <c r="N95" s="139">
        <v>80</v>
      </c>
      <c r="O95" s="139">
        <v>80</v>
      </c>
      <c r="P95" s="39">
        <v>26</v>
      </c>
      <c r="Q95" s="9">
        <v>300</v>
      </c>
      <c r="R95" s="38">
        <v>0.5</v>
      </c>
      <c r="S95" s="38">
        <f t="shared" si="24"/>
        <v>150</v>
      </c>
      <c r="T95" s="38">
        <f t="shared" si="25"/>
        <v>376</v>
      </c>
      <c r="U95" s="134">
        <v>0</v>
      </c>
      <c r="V95" s="135"/>
      <c r="W95" s="41">
        <v>0</v>
      </c>
      <c r="X95" s="41">
        <v>400</v>
      </c>
      <c r="Y95" s="41">
        <v>0</v>
      </c>
      <c r="Z95" s="41">
        <f t="shared" si="26"/>
        <v>176</v>
      </c>
      <c r="AA95" s="41">
        <f t="shared" si="27"/>
        <v>576</v>
      </c>
    </row>
    <row r="96" spans="1:168" s="3" customFormat="1" ht="15.5" x14ac:dyDescent="0.35">
      <c r="A96" s="5">
        <v>78</v>
      </c>
      <c r="B96" s="69" t="s">
        <v>76</v>
      </c>
      <c r="C96" s="43" t="s">
        <v>17</v>
      </c>
      <c r="D96" s="43" t="s">
        <v>53</v>
      </c>
      <c r="E96" s="133">
        <v>45402</v>
      </c>
      <c r="F96" s="133">
        <v>45402</v>
      </c>
      <c r="G96" s="136">
        <v>10</v>
      </c>
      <c r="H96" s="137"/>
      <c r="I96" s="137"/>
      <c r="J96" s="137"/>
      <c r="K96" s="138"/>
      <c r="L96" s="139">
        <v>200</v>
      </c>
      <c r="M96" s="139">
        <v>80</v>
      </c>
      <c r="N96" s="139">
        <v>80</v>
      </c>
      <c r="O96" s="139">
        <v>80</v>
      </c>
      <c r="P96" s="39">
        <v>26</v>
      </c>
      <c r="Q96" s="9">
        <v>300</v>
      </c>
      <c r="R96" s="38">
        <v>0.5</v>
      </c>
      <c r="S96" s="38">
        <f t="shared" si="24"/>
        <v>150</v>
      </c>
      <c r="T96" s="38">
        <f t="shared" si="25"/>
        <v>376</v>
      </c>
      <c r="U96" s="134">
        <v>0</v>
      </c>
      <c r="V96" s="135"/>
      <c r="W96" s="41">
        <v>0</v>
      </c>
      <c r="X96" s="41">
        <v>400</v>
      </c>
      <c r="Y96" s="41">
        <v>0</v>
      </c>
      <c r="Z96" s="41">
        <f t="shared" si="26"/>
        <v>176</v>
      </c>
      <c r="AA96" s="41">
        <f t="shared" si="27"/>
        <v>576</v>
      </c>
    </row>
    <row r="97" spans="1:168" s="3" customFormat="1" ht="15.5" x14ac:dyDescent="0.35">
      <c r="A97" s="5">
        <v>79</v>
      </c>
      <c r="B97" s="69" t="s">
        <v>77</v>
      </c>
      <c r="C97" s="43" t="s">
        <v>17</v>
      </c>
      <c r="D97" s="43" t="s">
        <v>53</v>
      </c>
      <c r="E97" s="133">
        <v>45409</v>
      </c>
      <c r="F97" s="133">
        <v>45409</v>
      </c>
      <c r="G97" s="136">
        <v>10</v>
      </c>
      <c r="H97" s="137"/>
      <c r="I97" s="137"/>
      <c r="J97" s="137"/>
      <c r="K97" s="138"/>
      <c r="L97" s="139">
        <v>200</v>
      </c>
      <c r="M97" s="139">
        <v>80</v>
      </c>
      <c r="N97" s="139">
        <v>80</v>
      </c>
      <c r="O97" s="139">
        <v>80</v>
      </c>
      <c r="P97" s="39">
        <v>26</v>
      </c>
      <c r="Q97" s="9">
        <v>300</v>
      </c>
      <c r="R97" s="38">
        <v>0.5</v>
      </c>
      <c r="S97" s="38">
        <f t="shared" si="24"/>
        <v>150</v>
      </c>
      <c r="T97" s="38">
        <f t="shared" si="25"/>
        <v>376</v>
      </c>
      <c r="U97" s="134">
        <v>0</v>
      </c>
      <c r="V97" s="135"/>
      <c r="W97" s="41">
        <v>0</v>
      </c>
      <c r="X97" s="41">
        <v>400</v>
      </c>
      <c r="Y97" s="41">
        <v>0</v>
      </c>
      <c r="Z97" s="41">
        <f t="shared" si="26"/>
        <v>176</v>
      </c>
      <c r="AA97" s="41">
        <f t="shared" si="27"/>
        <v>576</v>
      </c>
    </row>
    <row r="98" spans="1:168" s="3" customFormat="1" ht="15.5" x14ac:dyDescent="0.35">
      <c r="A98" s="5">
        <v>80</v>
      </c>
      <c r="B98" s="69" t="s">
        <v>78</v>
      </c>
      <c r="C98" s="43" t="s">
        <v>17</v>
      </c>
      <c r="D98" s="43" t="s">
        <v>53</v>
      </c>
      <c r="E98" s="133">
        <v>45535</v>
      </c>
      <c r="F98" s="133">
        <v>45535</v>
      </c>
      <c r="G98" s="136">
        <v>10</v>
      </c>
      <c r="H98" s="137"/>
      <c r="I98" s="137"/>
      <c r="J98" s="137"/>
      <c r="K98" s="138"/>
      <c r="L98" s="139">
        <v>200</v>
      </c>
      <c r="M98" s="139">
        <v>80</v>
      </c>
      <c r="N98" s="139">
        <v>80</v>
      </c>
      <c r="O98" s="139">
        <v>80</v>
      </c>
      <c r="P98" s="39">
        <v>26</v>
      </c>
      <c r="Q98" s="9">
        <v>300</v>
      </c>
      <c r="R98" s="38">
        <v>0.5</v>
      </c>
      <c r="S98" s="38">
        <f t="shared" si="24"/>
        <v>150</v>
      </c>
      <c r="T98" s="38">
        <f t="shared" si="25"/>
        <v>376</v>
      </c>
      <c r="U98" s="134">
        <v>0</v>
      </c>
      <c r="V98" s="135"/>
      <c r="W98" s="41">
        <v>0</v>
      </c>
      <c r="X98" s="41">
        <v>400</v>
      </c>
      <c r="Y98" s="41">
        <v>0</v>
      </c>
      <c r="Z98" s="41">
        <f t="shared" si="26"/>
        <v>176</v>
      </c>
      <c r="AA98" s="41">
        <f t="shared" si="27"/>
        <v>576</v>
      </c>
    </row>
    <row r="99" spans="1:168" s="3" customFormat="1" ht="15.5" x14ac:dyDescent="0.35">
      <c r="A99" s="5">
        <v>81</v>
      </c>
      <c r="B99" s="69" t="s">
        <v>79</v>
      </c>
      <c r="C99" s="43" t="s">
        <v>33</v>
      </c>
      <c r="D99" s="43" t="s">
        <v>53</v>
      </c>
      <c r="E99" s="133">
        <v>45367</v>
      </c>
      <c r="F99" s="133">
        <v>45367</v>
      </c>
      <c r="G99" s="136">
        <v>10</v>
      </c>
      <c r="H99" s="137"/>
      <c r="I99" s="137"/>
      <c r="J99" s="137"/>
      <c r="K99" s="138"/>
      <c r="L99" s="139">
        <v>200</v>
      </c>
      <c r="M99" s="139">
        <v>80</v>
      </c>
      <c r="N99" s="139">
        <v>80</v>
      </c>
      <c r="O99" s="139">
        <v>80</v>
      </c>
      <c r="P99" s="39">
        <v>26</v>
      </c>
      <c r="Q99" s="9">
        <v>300</v>
      </c>
      <c r="R99" s="38">
        <v>0.5</v>
      </c>
      <c r="S99" s="38">
        <f t="shared" si="24"/>
        <v>150</v>
      </c>
      <c r="T99" s="38">
        <f t="shared" si="25"/>
        <v>376</v>
      </c>
      <c r="U99" s="134">
        <v>0</v>
      </c>
      <c r="V99" s="135"/>
      <c r="W99" s="41">
        <v>0</v>
      </c>
      <c r="X99" s="41">
        <v>400</v>
      </c>
      <c r="Y99" s="41">
        <v>0</v>
      </c>
      <c r="Z99" s="41">
        <f t="shared" si="26"/>
        <v>176</v>
      </c>
      <c r="AA99" s="41">
        <f t="shared" si="27"/>
        <v>576</v>
      </c>
    </row>
    <row r="100" spans="1:168" s="3" customFormat="1" ht="15.5" x14ac:dyDescent="0.35">
      <c r="A100" s="5">
        <v>82</v>
      </c>
      <c r="B100" s="69" t="s">
        <v>80</v>
      </c>
      <c r="C100" s="43" t="s">
        <v>31</v>
      </c>
      <c r="D100" s="43" t="s">
        <v>53</v>
      </c>
      <c r="E100" s="133">
        <v>45353</v>
      </c>
      <c r="F100" s="133">
        <v>45353</v>
      </c>
      <c r="G100" s="136">
        <v>10</v>
      </c>
      <c r="H100" s="137"/>
      <c r="I100" s="137"/>
      <c r="J100" s="137"/>
      <c r="K100" s="138"/>
      <c r="L100" s="139">
        <v>200</v>
      </c>
      <c r="M100" s="139">
        <v>80</v>
      </c>
      <c r="N100" s="139">
        <v>80</v>
      </c>
      <c r="O100" s="139">
        <v>80</v>
      </c>
      <c r="P100" s="39">
        <v>26</v>
      </c>
      <c r="Q100" s="9">
        <v>300</v>
      </c>
      <c r="R100" s="38">
        <v>0.5</v>
      </c>
      <c r="S100" s="38">
        <f t="shared" si="24"/>
        <v>150</v>
      </c>
      <c r="T100" s="38">
        <f t="shared" si="25"/>
        <v>376</v>
      </c>
      <c r="U100" s="134">
        <v>0</v>
      </c>
      <c r="V100" s="135"/>
      <c r="W100" s="41">
        <v>0</v>
      </c>
      <c r="X100" s="41">
        <v>400</v>
      </c>
      <c r="Y100" s="41">
        <v>0</v>
      </c>
      <c r="Z100" s="41">
        <f t="shared" si="26"/>
        <v>176</v>
      </c>
      <c r="AA100" s="41">
        <f t="shared" si="27"/>
        <v>576</v>
      </c>
    </row>
    <row r="101" spans="1:168" s="3" customFormat="1" ht="15.5" x14ac:dyDescent="0.35">
      <c r="A101" s="5">
        <v>83</v>
      </c>
      <c r="B101" s="69" t="s">
        <v>81</v>
      </c>
      <c r="C101" s="43" t="s">
        <v>31</v>
      </c>
      <c r="D101" s="43" t="s">
        <v>53</v>
      </c>
      <c r="E101" s="133">
        <v>45360</v>
      </c>
      <c r="F101" s="133">
        <v>45360</v>
      </c>
      <c r="G101" s="136">
        <v>10</v>
      </c>
      <c r="H101" s="137"/>
      <c r="I101" s="137"/>
      <c r="J101" s="137"/>
      <c r="K101" s="138"/>
      <c r="L101" s="139">
        <v>200</v>
      </c>
      <c r="M101" s="139">
        <v>80</v>
      </c>
      <c r="N101" s="139">
        <v>80</v>
      </c>
      <c r="O101" s="139">
        <v>80</v>
      </c>
      <c r="P101" s="39">
        <v>26</v>
      </c>
      <c r="Q101" s="9">
        <v>300</v>
      </c>
      <c r="R101" s="38">
        <v>0.5</v>
      </c>
      <c r="S101" s="38">
        <f t="shared" si="24"/>
        <v>150</v>
      </c>
      <c r="T101" s="38">
        <f t="shared" si="25"/>
        <v>376</v>
      </c>
      <c r="U101" s="134">
        <v>0</v>
      </c>
      <c r="V101" s="135"/>
      <c r="W101" s="41">
        <v>0</v>
      </c>
      <c r="X101" s="41">
        <v>400</v>
      </c>
      <c r="Y101" s="41">
        <v>0</v>
      </c>
      <c r="Z101" s="41">
        <f t="shared" si="26"/>
        <v>176</v>
      </c>
      <c r="AA101" s="41">
        <f t="shared" si="27"/>
        <v>576</v>
      </c>
    </row>
    <row r="102" spans="1:168" s="3" customFormat="1" ht="15.5" x14ac:dyDescent="0.35">
      <c r="A102" s="5">
        <v>84</v>
      </c>
      <c r="B102" s="69" t="s">
        <v>82</v>
      </c>
      <c r="C102" s="43" t="s">
        <v>31</v>
      </c>
      <c r="D102" s="43" t="s">
        <v>53</v>
      </c>
      <c r="E102" s="133">
        <v>45416</v>
      </c>
      <c r="F102" s="133">
        <v>45416</v>
      </c>
      <c r="G102" s="136">
        <v>10</v>
      </c>
      <c r="H102" s="137"/>
      <c r="I102" s="137"/>
      <c r="J102" s="137"/>
      <c r="K102" s="138"/>
      <c r="L102" s="139">
        <v>200</v>
      </c>
      <c r="M102" s="139">
        <v>80</v>
      </c>
      <c r="N102" s="139">
        <v>80</v>
      </c>
      <c r="O102" s="139">
        <v>80</v>
      </c>
      <c r="P102" s="39">
        <v>26</v>
      </c>
      <c r="Q102" s="9">
        <v>300</v>
      </c>
      <c r="R102" s="38">
        <v>0.5</v>
      </c>
      <c r="S102" s="38">
        <f t="shared" si="24"/>
        <v>150</v>
      </c>
      <c r="T102" s="38">
        <f t="shared" si="25"/>
        <v>376</v>
      </c>
      <c r="U102" s="134">
        <v>0</v>
      </c>
      <c r="V102" s="135"/>
      <c r="W102" s="41">
        <v>0</v>
      </c>
      <c r="X102" s="41">
        <v>400</v>
      </c>
      <c r="Y102" s="41">
        <v>0</v>
      </c>
      <c r="Z102" s="41">
        <f t="shared" si="26"/>
        <v>176</v>
      </c>
      <c r="AA102" s="41">
        <f t="shared" si="27"/>
        <v>576</v>
      </c>
    </row>
    <row r="103" spans="1:168" s="3" customFormat="1" ht="15.5" x14ac:dyDescent="0.35">
      <c r="A103" s="5">
        <v>85</v>
      </c>
      <c r="B103" s="69" t="s">
        <v>83</v>
      </c>
      <c r="C103" s="43" t="s">
        <v>33</v>
      </c>
      <c r="D103" s="43" t="s">
        <v>84</v>
      </c>
      <c r="E103" s="133"/>
      <c r="F103" s="133"/>
      <c r="G103" s="136">
        <v>10</v>
      </c>
      <c r="H103" s="137"/>
      <c r="I103" s="137"/>
      <c r="J103" s="137"/>
      <c r="K103" s="138"/>
      <c r="L103" s="139">
        <v>200</v>
      </c>
      <c r="M103" s="139">
        <v>80</v>
      </c>
      <c r="N103" s="139">
        <v>80</v>
      </c>
      <c r="O103" s="139">
        <v>80</v>
      </c>
      <c r="P103" s="39">
        <v>26</v>
      </c>
      <c r="Q103" s="9">
        <v>300</v>
      </c>
      <c r="R103" s="38">
        <v>0.5</v>
      </c>
      <c r="S103" s="38">
        <f t="shared" si="24"/>
        <v>150</v>
      </c>
      <c r="T103" s="38">
        <f t="shared" si="25"/>
        <v>376</v>
      </c>
      <c r="U103" s="134">
        <v>0</v>
      </c>
      <c r="V103" s="135"/>
      <c r="W103" s="41">
        <v>0</v>
      </c>
      <c r="X103" s="41">
        <v>400</v>
      </c>
      <c r="Y103" s="41">
        <v>0</v>
      </c>
      <c r="Z103" s="41">
        <f t="shared" si="26"/>
        <v>176</v>
      </c>
      <c r="AA103" s="41">
        <f t="shared" si="27"/>
        <v>576</v>
      </c>
    </row>
    <row r="104" spans="1:168" s="2" customFormat="1" ht="15.5" x14ac:dyDescent="0.35">
      <c r="A104" s="126" t="s">
        <v>109</v>
      </c>
      <c r="B104" s="127"/>
      <c r="C104" s="127"/>
      <c r="D104" s="127"/>
      <c r="E104" s="127"/>
      <c r="F104" s="127"/>
      <c r="G104" s="127"/>
      <c r="H104" s="127"/>
      <c r="I104" s="127"/>
      <c r="J104" s="127"/>
      <c r="K104" s="127"/>
      <c r="L104" s="148">
        <f>SUM(L88:O103)</f>
        <v>7040</v>
      </c>
      <c r="M104" s="124"/>
      <c r="N104" s="124"/>
      <c r="O104" s="124"/>
      <c r="P104" s="124"/>
      <c r="Q104" s="124"/>
      <c r="R104" s="124"/>
      <c r="S104" s="124"/>
      <c r="T104" s="55">
        <f>SUM(T88:T103)</f>
        <v>6016</v>
      </c>
      <c r="U104" s="149">
        <f>SUM(U88:V103)</f>
        <v>0</v>
      </c>
      <c r="V104" s="124"/>
      <c r="W104" s="56">
        <f>SUM(W80:W103)</f>
        <v>0</v>
      </c>
      <c r="X104" s="11">
        <f>SUM(X88:X103)</f>
        <v>6400</v>
      </c>
      <c r="Y104" s="11">
        <f>SUM(Y88:Y103)</f>
        <v>0</v>
      </c>
      <c r="Z104" s="11">
        <f>SUM(Z88:Z103)</f>
        <v>2816</v>
      </c>
      <c r="AA104" s="11">
        <f>SUM(AA88:AA103)</f>
        <v>9216</v>
      </c>
    </row>
    <row r="105" spans="1:168" s="75" customFormat="1" ht="15.5" x14ac:dyDescent="0.35">
      <c r="A105" s="20"/>
      <c r="B105" s="121" t="s">
        <v>114</v>
      </c>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row>
    <row r="106" spans="1:168" s="3" customFormat="1" ht="46.5" x14ac:dyDescent="0.35">
      <c r="A106" s="37" t="s">
        <v>52</v>
      </c>
      <c r="B106" s="5" t="s">
        <v>0</v>
      </c>
      <c r="C106" s="5" t="s">
        <v>1</v>
      </c>
      <c r="D106" s="5" t="s">
        <v>2</v>
      </c>
      <c r="E106" s="5" t="s">
        <v>3</v>
      </c>
      <c r="F106" s="5" t="s">
        <v>4</v>
      </c>
      <c r="G106" s="5" t="s">
        <v>5</v>
      </c>
      <c r="H106" s="5" t="s">
        <v>6</v>
      </c>
      <c r="I106" s="5" t="s">
        <v>7</v>
      </c>
      <c r="J106" s="7" t="s">
        <v>8</v>
      </c>
      <c r="K106" s="7" t="s">
        <v>49</v>
      </c>
      <c r="L106" s="7" t="s">
        <v>9</v>
      </c>
      <c r="M106" s="5" t="s">
        <v>10</v>
      </c>
      <c r="N106" s="7" t="s">
        <v>11</v>
      </c>
      <c r="O106" s="7" t="s">
        <v>121</v>
      </c>
      <c r="P106" s="7" t="s">
        <v>12</v>
      </c>
      <c r="Q106" s="7" t="s">
        <v>13</v>
      </c>
      <c r="R106" s="7" t="s">
        <v>14</v>
      </c>
      <c r="S106" s="7" t="s">
        <v>15</v>
      </c>
      <c r="T106" s="7" t="s">
        <v>122</v>
      </c>
      <c r="U106" s="7" t="s">
        <v>16</v>
      </c>
      <c r="V106" s="7" t="s">
        <v>123</v>
      </c>
      <c r="W106" s="7" t="s">
        <v>124</v>
      </c>
      <c r="X106" s="5" t="s">
        <v>47</v>
      </c>
      <c r="Y106" s="7" t="s">
        <v>103</v>
      </c>
      <c r="Z106" s="7" t="s">
        <v>48</v>
      </c>
      <c r="AA106" s="7" t="s">
        <v>109</v>
      </c>
    </row>
    <row r="107" spans="1:168" s="3" customFormat="1" ht="15.5" x14ac:dyDescent="0.35">
      <c r="A107" s="5">
        <v>86</v>
      </c>
      <c r="B107" s="58" t="s">
        <v>296</v>
      </c>
      <c r="C107" s="43" t="s">
        <v>85</v>
      </c>
      <c r="D107" s="43" t="s">
        <v>86</v>
      </c>
      <c r="E107" s="8">
        <v>45371</v>
      </c>
      <c r="F107" s="8">
        <v>45376</v>
      </c>
      <c r="G107" s="9">
        <v>1</v>
      </c>
      <c r="H107" s="9">
        <v>1</v>
      </c>
      <c r="I107" s="9">
        <v>1</v>
      </c>
      <c r="J107" s="9">
        <v>0</v>
      </c>
      <c r="K107" s="44">
        <f t="shared" ref="K107:K117" si="28">SUM(G107:J107)</f>
        <v>3</v>
      </c>
      <c r="L107" s="39">
        <v>200</v>
      </c>
      <c r="M107" s="10" t="s">
        <v>19</v>
      </c>
      <c r="N107" s="44">
        <f t="shared" ref="N107:N116" si="29">F107-E107</f>
        <v>5</v>
      </c>
      <c r="O107" s="38">
        <f t="shared" ref="O107:O116" si="30">K107*L107*N107</f>
        <v>3000</v>
      </c>
      <c r="P107" s="39">
        <v>0</v>
      </c>
      <c r="Q107" s="9">
        <v>0</v>
      </c>
      <c r="R107" s="38">
        <v>0.5</v>
      </c>
      <c r="S107" s="38">
        <f t="shared" ref="S107:S117" si="31">Q107*R107</f>
        <v>0</v>
      </c>
      <c r="T107" s="38">
        <f t="shared" ref="T107:T117" si="32">(P107*K107)+S107</f>
        <v>0</v>
      </c>
      <c r="U107" s="39">
        <v>220</v>
      </c>
      <c r="V107" s="45">
        <f t="shared" ref="V107:V117" si="33">U107*K107</f>
        <v>660</v>
      </c>
      <c r="W107" s="39">
        <v>0</v>
      </c>
      <c r="X107" s="41">
        <v>3500</v>
      </c>
      <c r="Y107" s="41">
        <v>0</v>
      </c>
      <c r="Z107" s="41">
        <f>AA107-X107</f>
        <v>160</v>
      </c>
      <c r="AA107" s="41">
        <f>O107+T107+V107+W107</f>
        <v>3660</v>
      </c>
    </row>
    <row r="108" spans="1:168" s="3" customFormat="1" ht="15.5" x14ac:dyDescent="0.35">
      <c r="A108" s="5">
        <v>87</v>
      </c>
      <c r="B108" s="58" t="s">
        <v>296</v>
      </c>
      <c r="C108" s="43" t="s">
        <v>85</v>
      </c>
      <c r="D108" s="43" t="s">
        <v>87</v>
      </c>
      <c r="E108" s="8">
        <v>45392</v>
      </c>
      <c r="F108" s="8">
        <v>45397</v>
      </c>
      <c r="G108" s="9">
        <v>1</v>
      </c>
      <c r="H108" s="9">
        <v>1</v>
      </c>
      <c r="I108" s="9">
        <v>1</v>
      </c>
      <c r="J108" s="9">
        <v>0</v>
      </c>
      <c r="K108" s="44">
        <f t="shared" si="28"/>
        <v>3</v>
      </c>
      <c r="L108" s="39">
        <v>200</v>
      </c>
      <c r="M108" s="10" t="s">
        <v>19</v>
      </c>
      <c r="N108" s="44">
        <f t="shared" si="29"/>
        <v>5</v>
      </c>
      <c r="O108" s="38">
        <f t="shared" si="30"/>
        <v>3000</v>
      </c>
      <c r="P108" s="39">
        <v>0</v>
      </c>
      <c r="Q108" s="9">
        <v>171</v>
      </c>
      <c r="R108" s="38">
        <v>0.5</v>
      </c>
      <c r="S108" s="38">
        <f t="shared" si="31"/>
        <v>85.5</v>
      </c>
      <c r="T108" s="38">
        <f t="shared" si="32"/>
        <v>85.5</v>
      </c>
      <c r="U108" s="39">
        <v>230</v>
      </c>
      <c r="V108" s="45">
        <f t="shared" si="33"/>
        <v>690</v>
      </c>
      <c r="W108" s="39">
        <v>0</v>
      </c>
      <c r="X108" s="41">
        <v>3500</v>
      </c>
      <c r="Y108" s="41">
        <v>0</v>
      </c>
      <c r="Z108" s="41">
        <f t="shared" ref="Z108:Z117" si="34">AA108-X108</f>
        <v>275.5</v>
      </c>
      <c r="AA108" s="41">
        <f t="shared" ref="AA108:AA117" si="35">O108+T108+V108+W108</f>
        <v>3775.5</v>
      </c>
    </row>
    <row r="109" spans="1:168" s="3" customFormat="1" ht="15.5" x14ac:dyDescent="0.35">
      <c r="A109" s="5">
        <v>88</v>
      </c>
      <c r="B109" s="58" t="s">
        <v>296</v>
      </c>
      <c r="C109" s="43" t="s">
        <v>85</v>
      </c>
      <c r="D109" s="43" t="s">
        <v>88</v>
      </c>
      <c r="E109" s="8">
        <v>45399</v>
      </c>
      <c r="F109" s="8">
        <v>45404</v>
      </c>
      <c r="G109" s="9">
        <v>1</v>
      </c>
      <c r="H109" s="9">
        <v>1</v>
      </c>
      <c r="I109" s="9">
        <v>1</v>
      </c>
      <c r="J109" s="9">
        <v>0</v>
      </c>
      <c r="K109" s="44">
        <f t="shared" si="28"/>
        <v>3</v>
      </c>
      <c r="L109" s="39">
        <v>200</v>
      </c>
      <c r="M109" s="10" t="s">
        <v>19</v>
      </c>
      <c r="N109" s="44">
        <f t="shared" si="29"/>
        <v>5</v>
      </c>
      <c r="O109" s="38">
        <f t="shared" si="30"/>
        <v>3000</v>
      </c>
      <c r="P109" s="39">
        <v>0</v>
      </c>
      <c r="Q109" s="9">
        <v>503</v>
      </c>
      <c r="R109" s="38">
        <v>0.5</v>
      </c>
      <c r="S109" s="38">
        <f t="shared" si="31"/>
        <v>251.5</v>
      </c>
      <c r="T109" s="38">
        <f t="shared" si="32"/>
        <v>251.5</v>
      </c>
      <c r="U109" s="39">
        <v>360</v>
      </c>
      <c r="V109" s="45">
        <f t="shared" si="33"/>
        <v>1080</v>
      </c>
      <c r="W109" s="39">
        <v>0</v>
      </c>
      <c r="X109" s="41">
        <v>4000</v>
      </c>
      <c r="Y109" s="41">
        <v>0</v>
      </c>
      <c r="Z109" s="41">
        <f t="shared" si="34"/>
        <v>331.5</v>
      </c>
      <c r="AA109" s="41">
        <f t="shared" si="35"/>
        <v>4331.5</v>
      </c>
    </row>
    <row r="110" spans="1:168" s="3" customFormat="1" ht="15.5" x14ac:dyDescent="0.35">
      <c r="A110" s="5">
        <v>89</v>
      </c>
      <c r="B110" s="58" t="s">
        <v>303</v>
      </c>
      <c r="C110" s="43" t="s">
        <v>85</v>
      </c>
      <c r="D110" s="43" t="s">
        <v>89</v>
      </c>
      <c r="E110" s="8">
        <v>45420</v>
      </c>
      <c r="F110" s="8">
        <v>45425</v>
      </c>
      <c r="G110" s="9">
        <v>2</v>
      </c>
      <c r="H110" s="9">
        <v>1</v>
      </c>
      <c r="I110" s="9">
        <v>1</v>
      </c>
      <c r="J110" s="9">
        <v>0</v>
      </c>
      <c r="K110" s="44">
        <f t="shared" si="28"/>
        <v>4</v>
      </c>
      <c r="L110" s="39">
        <v>150</v>
      </c>
      <c r="M110" s="10" t="s">
        <v>19</v>
      </c>
      <c r="N110" s="44">
        <f t="shared" si="29"/>
        <v>5</v>
      </c>
      <c r="O110" s="38">
        <f t="shared" si="30"/>
        <v>3000</v>
      </c>
      <c r="P110" s="39">
        <v>0</v>
      </c>
      <c r="Q110" s="9">
        <v>735</v>
      </c>
      <c r="R110" s="38">
        <v>0.5</v>
      </c>
      <c r="S110" s="38">
        <f t="shared" si="31"/>
        <v>367.5</v>
      </c>
      <c r="T110" s="38">
        <f t="shared" si="32"/>
        <v>367.5</v>
      </c>
      <c r="U110" s="39">
        <v>460</v>
      </c>
      <c r="V110" s="45">
        <f t="shared" si="33"/>
        <v>1840</v>
      </c>
      <c r="W110" s="39">
        <v>0</v>
      </c>
      <c r="X110" s="41">
        <v>5000</v>
      </c>
      <c r="Y110" s="41">
        <v>0</v>
      </c>
      <c r="Z110" s="41">
        <f t="shared" si="34"/>
        <v>207.5</v>
      </c>
      <c r="AA110" s="41">
        <f t="shared" si="35"/>
        <v>5207.5</v>
      </c>
    </row>
    <row r="111" spans="1:168" s="3" customFormat="1" ht="15.5" x14ac:dyDescent="0.35">
      <c r="A111" s="5">
        <v>90</v>
      </c>
      <c r="B111" s="58" t="s">
        <v>35</v>
      </c>
      <c r="C111" s="43" t="s">
        <v>85</v>
      </c>
      <c r="D111" s="43" t="s">
        <v>90</v>
      </c>
      <c r="E111" s="8">
        <v>45432</v>
      </c>
      <c r="F111" s="8">
        <v>45438</v>
      </c>
      <c r="G111" s="9">
        <v>4</v>
      </c>
      <c r="H111" s="9">
        <v>2</v>
      </c>
      <c r="I111" s="9">
        <v>1</v>
      </c>
      <c r="J111" s="9">
        <v>1</v>
      </c>
      <c r="K111" s="44">
        <f t="shared" si="28"/>
        <v>8</v>
      </c>
      <c r="L111" s="39">
        <v>80</v>
      </c>
      <c r="M111" s="10" t="s">
        <v>19</v>
      </c>
      <c r="N111" s="44">
        <f t="shared" si="29"/>
        <v>6</v>
      </c>
      <c r="O111" s="38">
        <f t="shared" si="30"/>
        <v>3840</v>
      </c>
      <c r="P111" s="39">
        <v>0</v>
      </c>
      <c r="Q111" s="9">
        <v>900</v>
      </c>
      <c r="R111" s="38">
        <v>0.5</v>
      </c>
      <c r="S111" s="38">
        <f t="shared" si="31"/>
        <v>450</v>
      </c>
      <c r="T111" s="38">
        <f t="shared" si="32"/>
        <v>450</v>
      </c>
      <c r="U111" s="39">
        <v>0</v>
      </c>
      <c r="V111" s="45">
        <f t="shared" si="33"/>
        <v>0</v>
      </c>
      <c r="W111" s="39">
        <v>800</v>
      </c>
      <c r="X111" s="41">
        <v>5000</v>
      </c>
      <c r="Y111" s="41">
        <v>0</v>
      </c>
      <c r="Z111" s="41">
        <f t="shared" si="34"/>
        <v>90</v>
      </c>
      <c r="AA111" s="41">
        <f t="shared" si="35"/>
        <v>5090</v>
      </c>
    </row>
    <row r="112" spans="1:168" s="3" customFormat="1" ht="15.5" x14ac:dyDescent="0.35">
      <c r="A112" s="5">
        <v>91</v>
      </c>
      <c r="B112" s="58" t="s">
        <v>35</v>
      </c>
      <c r="C112" s="43" t="s">
        <v>91</v>
      </c>
      <c r="D112" s="43" t="s">
        <v>90</v>
      </c>
      <c r="E112" s="8">
        <v>45432</v>
      </c>
      <c r="F112" s="8">
        <v>45438</v>
      </c>
      <c r="G112" s="9">
        <v>4</v>
      </c>
      <c r="H112" s="9">
        <v>2</v>
      </c>
      <c r="I112" s="9">
        <v>1</v>
      </c>
      <c r="J112" s="9">
        <v>1</v>
      </c>
      <c r="K112" s="44">
        <f t="shared" si="28"/>
        <v>8</v>
      </c>
      <c r="L112" s="39">
        <v>80</v>
      </c>
      <c r="M112" s="10" t="s">
        <v>19</v>
      </c>
      <c r="N112" s="44">
        <f t="shared" si="29"/>
        <v>6</v>
      </c>
      <c r="O112" s="38">
        <f t="shared" si="30"/>
        <v>3840</v>
      </c>
      <c r="P112" s="39">
        <v>0</v>
      </c>
      <c r="Q112" s="9">
        <v>900</v>
      </c>
      <c r="R112" s="38">
        <v>0.5</v>
      </c>
      <c r="S112" s="38">
        <f t="shared" si="31"/>
        <v>450</v>
      </c>
      <c r="T112" s="38">
        <f t="shared" si="32"/>
        <v>450</v>
      </c>
      <c r="U112" s="39">
        <v>0</v>
      </c>
      <c r="V112" s="45">
        <f t="shared" si="33"/>
        <v>0</v>
      </c>
      <c r="W112" s="39">
        <v>800</v>
      </c>
      <c r="X112" s="41">
        <v>5000</v>
      </c>
      <c r="Y112" s="41">
        <v>0</v>
      </c>
      <c r="Z112" s="41">
        <f t="shared" si="34"/>
        <v>90</v>
      </c>
      <c r="AA112" s="41">
        <f t="shared" si="35"/>
        <v>5090</v>
      </c>
    </row>
    <row r="113" spans="1:168" s="3" customFormat="1" ht="15.5" x14ac:dyDescent="0.35">
      <c r="A113" s="5">
        <v>92</v>
      </c>
      <c r="B113" s="58" t="s">
        <v>303</v>
      </c>
      <c r="C113" s="43" t="s">
        <v>85</v>
      </c>
      <c r="D113" s="43" t="s">
        <v>92</v>
      </c>
      <c r="E113" s="8">
        <v>45483</v>
      </c>
      <c r="F113" s="8">
        <v>45488</v>
      </c>
      <c r="G113" s="9">
        <v>2</v>
      </c>
      <c r="H113" s="9">
        <v>1</v>
      </c>
      <c r="I113" s="9">
        <v>1</v>
      </c>
      <c r="J113" s="9">
        <v>0</v>
      </c>
      <c r="K113" s="44">
        <f t="shared" si="28"/>
        <v>4</v>
      </c>
      <c r="L113" s="39">
        <v>170</v>
      </c>
      <c r="M113" s="10" t="s">
        <v>19</v>
      </c>
      <c r="N113" s="44">
        <f t="shared" si="29"/>
        <v>5</v>
      </c>
      <c r="O113" s="38">
        <f t="shared" si="30"/>
        <v>3400</v>
      </c>
      <c r="P113" s="39">
        <v>0</v>
      </c>
      <c r="Q113" s="9">
        <v>670</v>
      </c>
      <c r="R113" s="38">
        <v>0.5</v>
      </c>
      <c r="S113" s="38">
        <f t="shared" si="31"/>
        <v>335</v>
      </c>
      <c r="T113" s="38">
        <f t="shared" si="32"/>
        <v>335</v>
      </c>
      <c r="U113" s="39">
        <v>200</v>
      </c>
      <c r="V113" s="45">
        <f t="shared" si="33"/>
        <v>800</v>
      </c>
      <c r="W113" s="39">
        <v>0</v>
      </c>
      <c r="X113" s="41">
        <v>3500</v>
      </c>
      <c r="Y113" s="41">
        <v>0</v>
      </c>
      <c r="Z113" s="41">
        <f t="shared" si="34"/>
        <v>1035</v>
      </c>
      <c r="AA113" s="41">
        <f t="shared" si="35"/>
        <v>4535</v>
      </c>
    </row>
    <row r="114" spans="1:168" s="3" customFormat="1" ht="15.5" x14ac:dyDescent="0.35">
      <c r="A114" s="5">
        <v>93</v>
      </c>
      <c r="B114" s="58" t="s">
        <v>312</v>
      </c>
      <c r="C114" s="43" t="s">
        <v>91</v>
      </c>
      <c r="D114" s="43" t="s">
        <v>93</v>
      </c>
      <c r="E114" s="8">
        <v>45387</v>
      </c>
      <c r="F114" s="8">
        <v>45389</v>
      </c>
      <c r="G114" s="9">
        <v>6</v>
      </c>
      <c r="H114" s="9">
        <v>1</v>
      </c>
      <c r="I114" s="9">
        <v>1</v>
      </c>
      <c r="J114" s="9">
        <v>0</v>
      </c>
      <c r="K114" s="44">
        <f t="shared" si="28"/>
        <v>8</v>
      </c>
      <c r="L114" s="39">
        <v>120</v>
      </c>
      <c r="M114" s="10" t="s">
        <v>21</v>
      </c>
      <c r="N114" s="44">
        <f t="shared" si="29"/>
        <v>2</v>
      </c>
      <c r="O114" s="38">
        <f t="shared" si="30"/>
        <v>1920</v>
      </c>
      <c r="P114" s="39">
        <v>0</v>
      </c>
      <c r="Q114" s="9">
        <v>520</v>
      </c>
      <c r="R114" s="38">
        <v>0.5</v>
      </c>
      <c r="S114" s="38">
        <f t="shared" si="31"/>
        <v>260</v>
      </c>
      <c r="T114" s="38">
        <f t="shared" si="32"/>
        <v>260</v>
      </c>
      <c r="U114" s="39">
        <v>0</v>
      </c>
      <c r="V114" s="45">
        <f t="shared" si="33"/>
        <v>0</v>
      </c>
      <c r="W114" s="39">
        <v>400</v>
      </c>
      <c r="X114" s="41">
        <v>2000</v>
      </c>
      <c r="Y114" s="41">
        <v>0</v>
      </c>
      <c r="Z114" s="41">
        <f t="shared" si="34"/>
        <v>580</v>
      </c>
      <c r="AA114" s="41">
        <f t="shared" si="35"/>
        <v>2580</v>
      </c>
    </row>
    <row r="115" spans="1:168" s="3" customFormat="1" ht="15.5" x14ac:dyDescent="0.35">
      <c r="A115" s="5">
        <v>94</v>
      </c>
      <c r="B115" s="58" t="s">
        <v>312</v>
      </c>
      <c r="C115" s="43" t="s">
        <v>91</v>
      </c>
      <c r="D115" s="43" t="s">
        <v>94</v>
      </c>
      <c r="E115" s="8">
        <v>45415</v>
      </c>
      <c r="F115" s="8">
        <v>45417</v>
      </c>
      <c r="G115" s="9">
        <v>6</v>
      </c>
      <c r="H115" s="9">
        <v>1</v>
      </c>
      <c r="I115" s="9">
        <v>1</v>
      </c>
      <c r="J115" s="9">
        <v>0</v>
      </c>
      <c r="K115" s="44">
        <f t="shared" si="28"/>
        <v>8</v>
      </c>
      <c r="L115" s="39">
        <v>100</v>
      </c>
      <c r="M115" s="10" t="s">
        <v>28</v>
      </c>
      <c r="N115" s="44">
        <f t="shared" si="29"/>
        <v>2</v>
      </c>
      <c r="O115" s="38">
        <f t="shared" si="30"/>
        <v>1600</v>
      </c>
      <c r="P115" s="39">
        <v>0</v>
      </c>
      <c r="Q115" s="9">
        <v>0</v>
      </c>
      <c r="R115" s="38">
        <v>0.5</v>
      </c>
      <c r="S115" s="38">
        <f t="shared" si="31"/>
        <v>0</v>
      </c>
      <c r="T115" s="38">
        <f t="shared" si="32"/>
        <v>0</v>
      </c>
      <c r="U115" s="39">
        <v>0</v>
      </c>
      <c r="V115" s="45">
        <f t="shared" si="33"/>
        <v>0</v>
      </c>
      <c r="W115" s="39">
        <v>400</v>
      </c>
      <c r="X115" s="41">
        <v>2000</v>
      </c>
      <c r="Y115" s="41">
        <v>0</v>
      </c>
      <c r="Z115" s="41">
        <f t="shared" si="34"/>
        <v>0</v>
      </c>
      <c r="AA115" s="41">
        <f t="shared" si="35"/>
        <v>2000</v>
      </c>
    </row>
    <row r="116" spans="1:168" s="3" customFormat="1" ht="15.5" x14ac:dyDescent="0.35">
      <c r="A116" s="5">
        <v>95</v>
      </c>
      <c r="B116" s="58" t="s">
        <v>312</v>
      </c>
      <c r="C116" s="43" t="s">
        <v>17</v>
      </c>
      <c r="D116" s="43" t="s">
        <v>95</v>
      </c>
      <c r="E116" s="8">
        <v>45571</v>
      </c>
      <c r="F116" s="8">
        <v>45573</v>
      </c>
      <c r="G116" s="9">
        <v>6</v>
      </c>
      <c r="H116" s="9">
        <v>1</v>
      </c>
      <c r="I116" s="9">
        <v>1</v>
      </c>
      <c r="J116" s="9">
        <v>0</v>
      </c>
      <c r="K116" s="44">
        <f t="shared" si="28"/>
        <v>8</v>
      </c>
      <c r="L116" s="39">
        <v>200</v>
      </c>
      <c r="M116" s="10" t="s">
        <v>28</v>
      </c>
      <c r="N116" s="44">
        <f t="shared" si="29"/>
        <v>2</v>
      </c>
      <c r="O116" s="38">
        <f t="shared" si="30"/>
        <v>3200</v>
      </c>
      <c r="P116" s="39">
        <v>0</v>
      </c>
      <c r="Q116" s="9">
        <v>750</v>
      </c>
      <c r="R116" s="38">
        <v>0.5</v>
      </c>
      <c r="S116" s="38">
        <f t="shared" si="31"/>
        <v>375</v>
      </c>
      <c r="T116" s="38">
        <f t="shared" si="32"/>
        <v>375</v>
      </c>
      <c r="U116" s="39">
        <v>0</v>
      </c>
      <c r="V116" s="45">
        <f t="shared" si="33"/>
        <v>0</v>
      </c>
      <c r="W116" s="39">
        <v>0</v>
      </c>
      <c r="X116" s="41">
        <v>3500</v>
      </c>
      <c r="Y116" s="41">
        <v>0</v>
      </c>
      <c r="Z116" s="41">
        <f t="shared" si="34"/>
        <v>75</v>
      </c>
      <c r="AA116" s="41">
        <f t="shared" si="35"/>
        <v>3575</v>
      </c>
    </row>
    <row r="117" spans="1:168" s="3" customFormat="1" ht="15.5" x14ac:dyDescent="0.35">
      <c r="A117" s="5">
        <v>96</v>
      </c>
      <c r="B117" s="69" t="s">
        <v>98</v>
      </c>
      <c r="C117" s="43" t="s">
        <v>31</v>
      </c>
      <c r="D117" s="43" t="s">
        <v>96</v>
      </c>
      <c r="E117" s="8">
        <v>45552</v>
      </c>
      <c r="F117" s="8" t="s">
        <v>97</v>
      </c>
      <c r="G117" s="9">
        <v>16</v>
      </c>
      <c r="H117" s="9">
        <v>3</v>
      </c>
      <c r="I117" s="9">
        <v>3</v>
      </c>
      <c r="J117" s="9">
        <v>1</v>
      </c>
      <c r="K117" s="44">
        <f t="shared" si="28"/>
        <v>23</v>
      </c>
      <c r="L117" s="39">
        <v>80</v>
      </c>
      <c r="M117" s="10" t="s">
        <v>19</v>
      </c>
      <c r="N117" s="44">
        <v>4</v>
      </c>
      <c r="O117" s="38">
        <f>N117*L117*K117</f>
        <v>7360</v>
      </c>
      <c r="P117" s="39">
        <v>0</v>
      </c>
      <c r="Q117" s="9">
        <v>2000</v>
      </c>
      <c r="R117" s="38">
        <v>0.5</v>
      </c>
      <c r="S117" s="38">
        <f t="shared" si="31"/>
        <v>1000</v>
      </c>
      <c r="T117" s="38">
        <f t="shared" si="32"/>
        <v>1000</v>
      </c>
      <c r="U117" s="39">
        <v>0</v>
      </c>
      <c r="V117" s="45">
        <f t="shared" si="33"/>
        <v>0</v>
      </c>
      <c r="W117" s="39">
        <v>0</v>
      </c>
      <c r="X117" s="41">
        <v>8000</v>
      </c>
      <c r="Y117" s="41">
        <v>0</v>
      </c>
      <c r="Z117" s="41">
        <f t="shared" si="34"/>
        <v>360</v>
      </c>
      <c r="AA117" s="41">
        <f t="shared" si="35"/>
        <v>8360</v>
      </c>
    </row>
    <row r="118" spans="1:168" s="2" customFormat="1" ht="15.5" x14ac:dyDescent="0.35">
      <c r="A118" s="126" t="s">
        <v>109</v>
      </c>
      <c r="B118" s="127"/>
      <c r="C118" s="127"/>
      <c r="D118" s="127"/>
      <c r="E118" s="127"/>
      <c r="F118" s="127"/>
      <c r="G118" s="127"/>
      <c r="H118" s="127"/>
      <c r="I118" s="127"/>
      <c r="J118" s="127"/>
      <c r="K118" s="127"/>
      <c r="L118" s="127"/>
      <c r="M118" s="127"/>
      <c r="N118" s="128"/>
      <c r="O118" s="52">
        <f>SUM(O107:O117)</f>
        <v>37160</v>
      </c>
      <c r="P118" s="123"/>
      <c r="Q118" s="124"/>
      <c r="R118" s="124"/>
      <c r="S118" s="125"/>
      <c r="T118" s="53">
        <f>SUM(T107:T117)</f>
        <v>3574.5</v>
      </c>
      <c r="U118" s="54"/>
      <c r="V118" s="53">
        <f>SUM(V107:V117)</f>
        <v>5070</v>
      </c>
      <c r="W118" s="53">
        <f>SUM(W107:W117)</f>
        <v>2400</v>
      </c>
      <c r="X118" s="11">
        <f>SUM(X107:X117)</f>
        <v>45000</v>
      </c>
      <c r="Y118" s="11">
        <f t="shared" ref="Y118:AA118" si="36">SUM(Y107:Y117)</f>
        <v>0</v>
      </c>
      <c r="Z118" s="11">
        <f>SUM(Z107:Z117)+0.4</f>
        <v>3204.9</v>
      </c>
      <c r="AA118" s="11">
        <f t="shared" si="36"/>
        <v>48204.5</v>
      </c>
    </row>
    <row r="119" spans="1:168" s="75" customFormat="1" ht="15.5" x14ac:dyDescent="0.35">
      <c r="A119" s="20"/>
      <c r="B119" s="140" t="s">
        <v>115</v>
      </c>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row>
    <row r="120" spans="1:168" s="3" customFormat="1" ht="58" customHeight="1" x14ac:dyDescent="0.35">
      <c r="A120" s="37" t="s">
        <v>52</v>
      </c>
      <c r="B120" s="5" t="s">
        <v>0</v>
      </c>
      <c r="C120" s="5" t="s">
        <v>1</v>
      </c>
      <c r="D120" s="5" t="s">
        <v>2</v>
      </c>
      <c r="E120" s="129" t="s">
        <v>50</v>
      </c>
      <c r="F120" s="129"/>
      <c r="G120" s="129" t="s">
        <v>51</v>
      </c>
      <c r="H120" s="129"/>
      <c r="I120" s="129"/>
      <c r="J120" s="129"/>
      <c r="K120" s="129"/>
      <c r="L120" s="130" t="s">
        <v>121</v>
      </c>
      <c r="M120" s="130"/>
      <c r="N120" s="130"/>
      <c r="O120" s="130"/>
      <c r="P120" s="13" t="s">
        <v>12</v>
      </c>
      <c r="Q120" s="7" t="s">
        <v>13</v>
      </c>
      <c r="R120" s="7" t="s">
        <v>14</v>
      </c>
      <c r="S120" s="7" t="s">
        <v>15</v>
      </c>
      <c r="T120" s="7" t="s">
        <v>122</v>
      </c>
      <c r="U120" s="109" t="s">
        <v>124</v>
      </c>
      <c r="V120" s="110"/>
      <c r="W120" s="7" t="s">
        <v>125</v>
      </c>
      <c r="X120" s="5" t="s">
        <v>47</v>
      </c>
      <c r="Y120" s="7" t="s">
        <v>103</v>
      </c>
      <c r="Z120" s="7" t="s">
        <v>48</v>
      </c>
      <c r="AA120" s="7" t="s">
        <v>109</v>
      </c>
    </row>
    <row r="121" spans="1:168" s="3" customFormat="1" ht="15.5" x14ac:dyDescent="0.35">
      <c r="A121" s="5">
        <v>97</v>
      </c>
      <c r="B121" s="69" t="s">
        <v>314</v>
      </c>
      <c r="C121" s="43" t="s">
        <v>17</v>
      </c>
      <c r="D121" s="43" t="s">
        <v>99</v>
      </c>
      <c r="E121" s="133">
        <v>45311</v>
      </c>
      <c r="F121" s="133">
        <v>5</v>
      </c>
      <c r="G121" s="136">
        <v>6</v>
      </c>
      <c r="H121" s="137"/>
      <c r="I121" s="137">
        <v>1070</v>
      </c>
      <c r="J121" s="137">
        <v>0.4</v>
      </c>
      <c r="K121" s="138">
        <f t="shared" ref="K121:K125" si="37">I121*J121</f>
        <v>428</v>
      </c>
      <c r="L121" s="139">
        <v>470</v>
      </c>
      <c r="M121" s="139"/>
      <c r="N121" s="139"/>
      <c r="O121" s="139">
        <f>G121+L121+M121+N121</f>
        <v>476</v>
      </c>
      <c r="P121" s="39">
        <v>26</v>
      </c>
      <c r="Q121" s="9">
        <v>300</v>
      </c>
      <c r="R121" s="38">
        <v>0.5</v>
      </c>
      <c r="S121" s="38">
        <f t="shared" ref="S121:S125" si="38">Q121*R121</f>
        <v>150</v>
      </c>
      <c r="T121" s="38">
        <f>L121+P121+S121</f>
        <v>646</v>
      </c>
      <c r="U121" s="134">
        <v>0</v>
      </c>
      <c r="V121" s="135"/>
      <c r="W121" s="41">
        <v>0</v>
      </c>
      <c r="X121" s="41">
        <v>600</v>
      </c>
      <c r="Y121" s="41">
        <v>0</v>
      </c>
      <c r="Z121" s="41">
        <f>AA121-X121</f>
        <v>516</v>
      </c>
      <c r="AA121" s="41">
        <f>L121+T121+U121+W121</f>
        <v>1116</v>
      </c>
    </row>
    <row r="122" spans="1:168" s="3" customFormat="1" ht="15.5" x14ac:dyDescent="0.35">
      <c r="A122" s="5">
        <v>98</v>
      </c>
      <c r="B122" s="69" t="s">
        <v>315</v>
      </c>
      <c r="C122" s="43" t="s">
        <v>17</v>
      </c>
      <c r="D122" s="43" t="s">
        <v>99</v>
      </c>
      <c r="E122" s="133">
        <v>45332</v>
      </c>
      <c r="F122" s="133">
        <v>5</v>
      </c>
      <c r="G122" s="136">
        <v>11</v>
      </c>
      <c r="H122" s="137"/>
      <c r="I122" s="137">
        <v>2200</v>
      </c>
      <c r="J122" s="137">
        <v>0.4</v>
      </c>
      <c r="K122" s="138">
        <f t="shared" si="37"/>
        <v>880</v>
      </c>
      <c r="L122" s="139">
        <f t="shared" ref="L122:L124" si="39">(F122*H122)+K122</f>
        <v>880</v>
      </c>
      <c r="M122" s="139"/>
      <c r="N122" s="139"/>
      <c r="O122" s="139">
        <f t="shared" ref="O122:O125" si="40">G122+L122+M122+N122</f>
        <v>891</v>
      </c>
      <c r="P122" s="39">
        <v>26</v>
      </c>
      <c r="Q122" s="9">
        <v>300</v>
      </c>
      <c r="R122" s="38">
        <v>0.5</v>
      </c>
      <c r="S122" s="38">
        <f t="shared" si="38"/>
        <v>150</v>
      </c>
      <c r="T122" s="38">
        <f t="shared" ref="T122:T125" si="41">L122+P122+S122</f>
        <v>1056</v>
      </c>
      <c r="U122" s="134">
        <v>0</v>
      </c>
      <c r="V122" s="135"/>
      <c r="W122" s="41">
        <v>0</v>
      </c>
      <c r="X122" s="41">
        <v>600</v>
      </c>
      <c r="Y122" s="41">
        <v>0</v>
      </c>
      <c r="Z122" s="41">
        <f t="shared" ref="Z122:Z125" si="42">AA122-X122</f>
        <v>1336</v>
      </c>
      <c r="AA122" s="41">
        <f t="shared" ref="AA122:AA124" si="43">L122+T122+U122+W122</f>
        <v>1936</v>
      </c>
    </row>
    <row r="123" spans="1:168" s="3" customFormat="1" ht="15.5" x14ac:dyDescent="0.35">
      <c r="A123" s="5">
        <v>99</v>
      </c>
      <c r="B123" s="69" t="s">
        <v>316</v>
      </c>
      <c r="C123" s="43" t="s">
        <v>17</v>
      </c>
      <c r="D123" s="43" t="s">
        <v>99</v>
      </c>
      <c r="E123" s="133">
        <v>45353</v>
      </c>
      <c r="F123" s="133">
        <v>5</v>
      </c>
      <c r="G123" s="136">
        <v>11</v>
      </c>
      <c r="H123" s="137"/>
      <c r="I123" s="137">
        <v>2200</v>
      </c>
      <c r="J123" s="137">
        <v>0.4</v>
      </c>
      <c r="K123" s="138">
        <f t="shared" si="37"/>
        <v>880</v>
      </c>
      <c r="L123" s="139">
        <f t="shared" si="39"/>
        <v>880</v>
      </c>
      <c r="M123" s="139"/>
      <c r="N123" s="139"/>
      <c r="O123" s="139">
        <f t="shared" si="40"/>
        <v>891</v>
      </c>
      <c r="P123" s="39">
        <v>26</v>
      </c>
      <c r="Q123" s="9">
        <v>300</v>
      </c>
      <c r="R123" s="38">
        <v>0.5</v>
      </c>
      <c r="S123" s="38">
        <f t="shared" si="38"/>
        <v>150</v>
      </c>
      <c r="T123" s="38">
        <f t="shared" si="41"/>
        <v>1056</v>
      </c>
      <c r="U123" s="134">
        <v>0</v>
      </c>
      <c r="V123" s="135"/>
      <c r="W123" s="41">
        <v>0</v>
      </c>
      <c r="X123" s="41">
        <v>600</v>
      </c>
      <c r="Y123" s="41">
        <v>0</v>
      </c>
      <c r="Z123" s="41">
        <f t="shared" si="42"/>
        <v>1336</v>
      </c>
      <c r="AA123" s="41">
        <f t="shared" si="43"/>
        <v>1936</v>
      </c>
    </row>
    <row r="124" spans="1:168" s="3" customFormat="1" ht="15.5" x14ac:dyDescent="0.35">
      <c r="A124" s="5">
        <v>100</v>
      </c>
      <c r="B124" s="69" t="s">
        <v>317</v>
      </c>
      <c r="C124" s="43" t="s">
        <v>17</v>
      </c>
      <c r="D124" s="43" t="s">
        <v>99</v>
      </c>
      <c r="E124" s="133">
        <v>45388</v>
      </c>
      <c r="F124" s="133">
        <v>5</v>
      </c>
      <c r="G124" s="136">
        <v>11</v>
      </c>
      <c r="H124" s="137"/>
      <c r="I124" s="137">
        <v>2200</v>
      </c>
      <c r="J124" s="137">
        <v>0.4</v>
      </c>
      <c r="K124" s="138">
        <f t="shared" si="37"/>
        <v>880</v>
      </c>
      <c r="L124" s="139">
        <f t="shared" si="39"/>
        <v>880</v>
      </c>
      <c r="M124" s="139"/>
      <c r="N124" s="139"/>
      <c r="O124" s="139">
        <f t="shared" si="40"/>
        <v>891</v>
      </c>
      <c r="P124" s="39">
        <v>26</v>
      </c>
      <c r="Q124" s="9">
        <v>300</v>
      </c>
      <c r="R124" s="38">
        <v>0.5</v>
      </c>
      <c r="S124" s="38">
        <f t="shared" si="38"/>
        <v>150</v>
      </c>
      <c r="T124" s="38">
        <f t="shared" si="41"/>
        <v>1056</v>
      </c>
      <c r="U124" s="134">
        <v>0</v>
      </c>
      <c r="V124" s="135"/>
      <c r="W124" s="41">
        <v>0</v>
      </c>
      <c r="X124" s="41">
        <v>600</v>
      </c>
      <c r="Y124" s="41">
        <v>0</v>
      </c>
      <c r="Z124" s="41">
        <f t="shared" si="42"/>
        <v>1336</v>
      </c>
      <c r="AA124" s="41">
        <f t="shared" si="43"/>
        <v>1936</v>
      </c>
    </row>
    <row r="125" spans="1:168" s="3" customFormat="1" ht="15.5" x14ac:dyDescent="0.35">
      <c r="A125" s="5">
        <v>101</v>
      </c>
      <c r="B125" s="69" t="s">
        <v>318</v>
      </c>
      <c r="C125" s="43" t="s">
        <v>31</v>
      </c>
      <c r="D125" s="43" t="s">
        <v>100</v>
      </c>
      <c r="E125" s="133" t="s">
        <v>101</v>
      </c>
      <c r="F125" s="133">
        <v>12</v>
      </c>
      <c r="G125" s="136">
        <v>11</v>
      </c>
      <c r="H125" s="137"/>
      <c r="I125" s="137">
        <v>520</v>
      </c>
      <c r="J125" s="137">
        <v>0.4</v>
      </c>
      <c r="K125" s="138">
        <f t="shared" si="37"/>
        <v>208</v>
      </c>
      <c r="L125" s="139">
        <v>900</v>
      </c>
      <c r="M125" s="139">
        <v>900</v>
      </c>
      <c r="N125" s="139">
        <v>600</v>
      </c>
      <c r="O125" s="139">
        <f t="shared" si="40"/>
        <v>2411</v>
      </c>
      <c r="P125" s="39">
        <v>26</v>
      </c>
      <c r="Q125" s="9">
        <v>300</v>
      </c>
      <c r="R125" s="38">
        <v>0.5</v>
      </c>
      <c r="S125" s="38">
        <f t="shared" si="38"/>
        <v>150</v>
      </c>
      <c r="T125" s="38">
        <f t="shared" si="41"/>
        <v>1076</v>
      </c>
      <c r="U125" s="134">
        <v>500</v>
      </c>
      <c r="V125" s="135"/>
      <c r="W125" s="41">
        <v>1000</v>
      </c>
      <c r="X125" s="41">
        <v>2600</v>
      </c>
      <c r="Y125" s="41">
        <v>0</v>
      </c>
      <c r="Z125" s="41">
        <f t="shared" si="42"/>
        <v>876</v>
      </c>
      <c r="AA125" s="41">
        <f>L125+T125+U125+W125</f>
        <v>3476</v>
      </c>
    </row>
    <row r="126" spans="1:168" s="2" customFormat="1" ht="15.5" x14ac:dyDescent="0.35">
      <c r="A126" s="126" t="s">
        <v>109</v>
      </c>
      <c r="B126" s="127"/>
      <c r="C126" s="127"/>
      <c r="D126" s="127"/>
      <c r="E126" s="127"/>
      <c r="F126" s="127"/>
      <c r="G126" s="127"/>
      <c r="H126" s="127"/>
      <c r="I126" s="127"/>
      <c r="J126" s="127"/>
      <c r="K126" s="127"/>
      <c r="L126" s="148">
        <f>SUM(L121:O125)</f>
        <v>11070</v>
      </c>
      <c r="M126" s="124"/>
      <c r="N126" s="124"/>
      <c r="O126" s="124"/>
      <c r="P126" s="124"/>
      <c r="Q126" s="124"/>
      <c r="R126" s="124"/>
      <c r="S126" s="124"/>
      <c r="T126" s="55">
        <f>SUM(T121:T125)</f>
        <v>4890</v>
      </c>
      <c r="U126" s="149">
        <f>SUM(U121:V125)</f>
        <v>500</v>
      </c>
      <c r="V126" s="124"/>
      <c r="W126" s="56">
        <f>SUM(W121:W125)</f>
        <v>1000</v>
      </c>
      <c r="X126" s="11">
        <f>SUM(X121:X125)</f>
        <v>5000</v>
      </c>
      <c r="Y126" s="11">
        <f t="shared" ref="Y126:AA126" si="44">SUM(Y121:Y125)</f>
        <v>0</v>
      </c>
      <c r="Z126" s="11">
        <f t="shared" si="44"/>
        <v>5400</v>
      </c>
      <c r="AA126" s="11">
        <f t="shared" si="44"/>
        <v>10400</v>
      </c>
    </row>
    <row r="127" spans="1:168" s="75" customFormat="1" ht="15.5" x14ac:dyDescent="0.35">
      <c r="A127" s="20"/>
      <c r="B127" s="140" t="s">
        <v>145</v>
      </c>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row>
    <row r="128" spans="1:168" s="3" customFormat="1" ht="58" customHeight="1" x14ac:dyDescent="0.35">
      <c r="A128" s="37" t="s">
        <v>52</v>
      </c>
      <c r="B128" s="5" t="s">
        <v>0</v>
      </c>
      <c r="C128" s="151" t="s">
        <v>2</v>
      </c>
      <c r="D128" s="153"/>
      <c r="E128" s="129" t="s">
        <v>50</v>
      </c>
      <c r="F128" s="129"/>
      <c r="G128" s="129" t="s">
        <v>51</v>
      </c>
      <c r="H128" s="129"/>
      <c r="I128" s="129"/>
      <c r="J128" s="129"/>
      <c r="K128" s="129"/>
      <c r="L128" s="130" t="s">
        <v>121</v>
      </c>
      <c r="M128" s="130"/>
      <c r="N128" s="130"/>
      <c r="O128" s="130"/>
      <c r="P128" s="13" t="s">
        <v>12</v>
      </c>
      <c r="Q128" s="7" t="s">
        <v>13</v>
      </c>
      <c r="R128" s="7" t="s">
        <v>14</v>
      </c>
      <c r="S128" s="7" t="s">
        <v>15</v>
      </c>
      <c r="T128" s="7" t="s">
        <v>122</v>
      </c>
      <c r="U128" s="109" t="s">
        <v>150</v>
      </c>
      <c r="V128" s="110"/>
      <c r="W128" s="7" t="s">
        <v>151</v>
      </c>
      <c r="X128" s="5" t="s">
        <v>47</v>
      </c>
      <c r="Y128" s="7" t="s">
        <v>103</v>
      </c>
      <c r="Z128" s="7" t="s">
        <v>48</v>
      </c>
      <c r="AA128" s="7" t="s">
        <v>109</v>
      </c>
    </row>
    <row r="129" spans="1:168" s="3" customFormat="1" ht="15.5" x14ac:dyDescent="0.35">
      <c r="A129" s="5">
        <v>102</v>
      </c>
      <c r="B129" s="69" t="s">
        <v>301</v>
      </c>
      <c r="C129" s="154" t="s">
        <v>146</v>
      </c>
      <c r="D129" s="155"/>
      <c r="E129" s="133" t="s">
        <v>148</v>
      </c>
      <c r="F129" s="133"/>
      <c r="G129" s="136">
        <v>7</v>
      </c>
      <c r="H129" s="137"/>
      <c r="I129" s="137"/>
      <c r="J129" s="137"/>
      <c r="K129" s="138"/>
      <c r="L129" s="139">
        <v>1000</v>
      </c>
      <c r="M129" s="139"/>
      <c r="N129" s="139"/>
      <c r="O129" s="139"/>
      <c r="P129" s="39">
        <v>0</v>
      </c>
      <c r="Q129" s="9">
        <v>0</v>
      </c>
      <c r="R129" s="38">
        <v>0.5</v>
      </c>
      <c r="S129" s="38">
        <f t="shared" ref="S129:S130" si="45">Q129*R129</f>
        <v>0</v>
      </c>
      <c r="T129" s="38">
        <v>0</v>
      </c>
      <c r="U129" s="134">
        <v>400</v>
      </c>
      <c r="V129" s="135"/>
      <c r="W129" s="41">
        <v>1525</v>
      </c>
      <c r="X129" s="41">
        <v>2500</v>
      </c>
      <c r="Y129" s="41"/>
      <c r="Z129" s="41">
        <f>AA129-X129</f>
        <v>425</v>
      </c>
      <c r="AA129" s="41">
        <f>L129+U129+W129</f>
        <v>2925</v>
      </c>
    </row>
    <row r="130" spans="1:168" s="3" customFormat="1" ht="15.5" x14ac:dyDescent="0.35">
      <c r="A130" s="5">
        <v>103</v>
      </c>
      <c r="B130" s="69" t="s">
        <v>302</v>
      </c>
      <c r="C130" s="154" t="s">
        <v>147</v>
      </c>
      <c r="D130" s="155"/>
      <c r="E130" s="133" t="s">
        <v>149</v>
      </c>
      <c r="F130" s="133">
        <v>5</v>
      </c>
      <c r="G130" s="136">
        <v>7</v>
      </c>
      <c r="H130" s="137"/>
      <c r="I130" s="137">
        <v>1070</v>
      </c>
      <c r="J130" s="137">
        <v>0.4</v>
      </c>
      <c r="K130" s="138">
        <f t="shared" ref="K130" si="46">I130*J130</f>
        <v>428</v>
      </c>
      <c r="L130" s="139">
        <v>1000</v>
      </c>
      <c r="M130" s="139"/>
      <c r="N130" s="139"/>
      <c r="O130" s="139">
        <f>G130+L130+M130+N130</f>
        <v>1007</v>
      </c>
      <c r="P130" s="39">
        <v>0</v>
      </c>
      <c r="Q130" s="9">
        <v>0</v>
      </c>
      <c r="R130" s="38">
        <v>0.5</v>
      </c>
      <c r="S130" s="38">
        <f t="shared" si="45"/>
        <v>0</v>
      </c>
      <c r="T130" s="38">
        <v>0</v>
      </c>
      <c r="U130" s="134">
        <v>400</v>
      </c>
      <c r="V130" s="135"/>
      <c r="W130" s="41">
        <v>1525</v>
      </c>
      <c r="X130" s="41">
        <v>2500</v>
      </c>
      <c r="Y130" s="41">
        <v>0</v>
      </c>
      <c r="Z130" s="41">
        <f>AA130-X130</f>
        <v>425</v>
      </c>
      <c r="AA130" s="41">
        <f>L130+U130+W130</f>
        <v>2925</v>
      </c>
    </row>
    <row r="131" spans="1:168" s="2" customFormat="1" ht="15.5" x14ac:dyDescent="0.35">
      <c r="A131" s="126" t="s">
        <v>109</v>
      </c>
      <c r="B131" s="127"/>
      <c r="C131" s="127"/>
      <c r="D131" s="127"/>
      <c r="E131" s="127"/>
      <c r="F131" s="127"/>
      <c r="G131" s="127"/>
      <c r="H131" s="127"/>
      <c r="I131" s="127"/>
      <c r="J131" s="127"/>
      <c r="K131" s="127"/>
      <c r="L131" s="148">
        <v>1600</v>
      </c>
      <c r="M131" s="124"/>
      <c r="N131" s="124"/>
      <c r="O131" s="124"/>
      <c r="P131" s="124"/>
      <c r="Q131" s="124"/>
      <c r="R131" s="124"/>
      <c r="S131" s="124"/>
      <c r="T131" s="55">
        <v>0</v>
      </c>
      <c r="U131" s="149">
        <v>800</v>
      </c>
      <c r="V131" s="124"/>
      <c r="W131" s="56">
        <f>SUM(W129:W130)</f>
        <v>3050</v>
      </c>
      <c r="X131" s="11">
        <f>SUM(X129:X130)</f>
        <v>5000</v>
      </c>
      <c r="Y131" s="11">
        <f t="shared" ref="Y131" si="47">SUM(Y125:Y130)</f>
        <v>0</v>
      </c>
      <c r="Z131" s="11">
        <f>Z129+Z130</f>
        <v>850</v>
      </c>
      <c r="AA131" s="11">
        <f>AA129+AA130</f>
        <v>5850</v>
      </c>
    </row>
    <row r="132" spans="1:168" s="75" customFormat="1" ht="15.5" x14ac:dyDescent="0.35">
      <c r="A132" s="20"/>
      <c r="B132" s="21" t="s">
        <v>128</v>
      </c>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row>
    <row r="133" spans="1:168" s="3" customFormat="1" ht="69" customHeight="1" x14ac:dyDescent="0.35">
      <c r="A133" s="37" t="s">
        <v>52</v>
      </c>
      <c r="B133" s="151" t="s">
        <v>0</v>
      </c>
      <c r="C133" s="152"/>
      <c r="D133" s="152"/>
      <c r="E133" s="152"/>
      <c r="F133" s="153"/>
      <c r="G133" s="130" t="s">
        <v>134</v>
      </c>
      <c r="H133" s="129"/>
      <c r="I133" s="129"/>
      <c r="J133" s="129"/>
      <c r="K133" s="129"/>
      <c r="L133" s="130" t="s">
        <v>121</v>
      </c>
      <c r="M133" s="130"/>
      <c r="N133" s="130"/>
      <c r="O133" s="130"/>
      <c r="P133" s="109" t="s">
        <v>135</v>
      </c>
      <c r="Q133" s="150"/>
      <c r="R133" s="150"/>
      <c r="S133" s="150"/>
      <c r="T133" s="110"/>
      <c r="U133" s="109" t="s">
        <v>136</v>
      </c>
      <c r="V133" s="110"/>
      <c r="W133" s="7" t="s">
        <v>125</v>
      </c>
      <c r="X133" s="5" t="s">
        <v>47</v>
      </c>
      <c r="Y133" s="7" t="s">
        <v>103</v>
      </c>
      <c r="Z133" s="7" t="s">
        <v>48</v>
      </c>
      <c r="AA133" s="7" t="s">
        <v>109</v>
      </c>
    </row>
    <row r="134" spans="1:168" s="3" customFormat="1" ht="15.5" x14ac:dyDescent="0.35">
      <c r="A134" s="5">
        <v>104</v>
      </c>
      <c r="B134" s="141" t="s">
        <v>131</v>
      </c>
      <c r="C134" s="142"/>
      <c r="D134" s="142"/>
      <c r="E134" s="142"/>
      <c r="F134" s="143"/>
      <c r="G134" s="145">
        <v>1500</v>
      </c>
      <c r="H134" s="146"/>
      <c r="I134" s="146"/>
      <c r="J134" s="146"/>
      <c r="K134" s="147"/>
      <c r="L134" s="132">
        <v>2500</v>
      </c>
      <c r="M134" s="132"/>
      <c r="N134" s="132"/>
      <c r="O134" s="132"/>
      <c r="P134" s="134">
        <v>2000</v>
      </c>
      <c r="Q134" s="144"/>
      <c r="R134" s="144"/>
      <c r="S134" s="144"/>
      <c r="T134" s="135"/>
      <c r="U134" s="134">
        <v>3000</v>
      </c>
      <c r="V134" s="135"/>
      <c r="W134" s="41">
        <v>2000</v>
      </c>
      <c r="X134" s="41">
        <v>8700</v>
      </c>
      <c r="Y134" s="41">
        <v>0</v>
      </c>
      <c r="Z134" s="41">
        <f>AA134-X134</f>
        <v>2300</v>
      </c>
      <c r="AA134" s="41">
        <f>G134+L134+P134+U134+W134</f>
        <v>11000</v>
      </c>
    </row>
    <row r="135" spans="1:168" s="3" customFormat="1" ht="15.5" x14ac:dyDescent="0.35">
      <c r="A135" s="5">
        <v>105</v>
      </c>
      <c r="B135" s="141" t="s">
        <v>130</v>
      </c>
      <c r="C135" s="142"/>
      <c r="D135" s="142"/>
      <c r="E135" s="142"/>
      <c r="F135" s="143"/>
      <c r="G135" s="145">
        <v>1500</v>
      </c>
      <c r="H135" s="146"/>
      <c r="I135" s="146"/>
      <c r="J135" s="146"/>
      <c r="K135" s="147"/>
      <c r="L135" s="132">
        <v>2500</v>
      </c>
      <c r="M135" s="132"/>
      <c r="N135" s="132"/>
      <c r="O135" s="132"/>
      <c r="P135" s="134">
        <v>2000</v>
      </c>
      <c r="Q135" s="144"/>
      <c r="R135" s="144"/>
      <c r="S135" s="144"/>
      <c r="T135" s="135"/>
      <c r="U135" s="134">
        <v>3000</v>
      </c>
      <c r="V135" s="135"/>
      <c r="W135" s="41">
        <v>2000</v>
      </c>
      <c r="X135" s="41">
        <v>8700</v>
      </c>
      <c r="Y135" s="41">
        <v>0</v>
      </c>
      <c r="Z135" s="41">
        <f t="shared" ref="Z135:Z136" si="48">AA135-X135</f>
        <v>2300</v>
      </c>
      <c r="AA135" s="41">
        <f t="shared" ref="AA135:AA136" si="49">G135+L135+P135+U135+W135</f>
        <v>11000</v>
      </c>
    </row>
    <row r="136" spans="1:168" s="3" customFormat="1" ht="15.5" x14ac:dyDescent="0.35">
      <c r="A136" s="5">
        <v>106</v>
      </c>
      <c r="B136" s="141" t="s">
        <v>132</v>
      </c>
      <c r="C136" s="142"/>
      <c r="D136" s="142"/>
      <c r="E136" s="142"/>
      <c r="F136" s="143"/>
      <c r="G136" s="145">
        <v>1500</v>
      </c>
      <c r="H136" s="146"/>
      <c r="I136" s="146"/>
      <c r="J136" s="146"/>
      <c r="K136" s="147"/>
      <c r="L136" s="132">
        <v>2500</v>
      </c>
      <c r="M136" s="132"/>
      <c r="N136" s="132"/>
      <c r="O136" s="132"/>
      <c r="P136" s="134">
        <v>2000</v>
      </c>
      <c r="Q136" s="144"/>
      <c r="R136" s="144"/>
      <c r="S136" s="144"/>
      <c r="T136" s="135"/>
      <c r="U136" s="134">
        <v>3000</v>
      </c>
      <c r="V136" s="135"/>
      <c r="W136" s="41">
        <v>2000</v>
      </c>
      <c r="X136" s="41">
        <v>8700</v>
      </c>
      <c r="Y136" s="41">
        <v>0</v>
      </c>
      <c r="Z136" s="41">
        <f t="shared" si="48"/>
        <v>2300</v>
      </c>
      <c r="AA136" s="41">
        <f t="shared" si="49"/>
        <v>11000</v>
      </c>
    </row>
    <row r="137" spans="1:168" s="2" customFormat="1" ht="15.5" x14ac:dyDescent="0.35">
      <c r="A137" s="156" t="s">
        <v>109</v>
      </c>
      <c r="B137" s="156"/>
      <c r="C137" s="156"/>
      <c r="D137" s="156"/>
      <c r="E137" s="156"/>
      <c r="F137" s="156"/>
      <c r="G137" s="160">
        <f>SUM(G134:K136)</f>
        <v>4500</v>
      </c>
      <c r="H137" s="161"/>
      <c r="I137" s="161"/>
      <c r="J137" s="161"/>
      <c r="K137" s="162"/>
      <c r="L137" s="163">
        <f>SUM(L134:O136)</f>
        <v>7500</v>
      </c>
      <c r="M137" s="163"/>
      <c r="N137" s="163"/>
      <c r="O137" s="163"/>
      <c r="P137" s="157">
        <v>6000</v>
      </c>
      <c r="Q137" s="158"/>
      <c r="R137" s="158"/>
      <c r="S137" s="158"/>
      <c r="T137" s="159"/>
      <c r="U137" s="157">
        <f>SUM(U134:V136)</f>
        <v>9000</v>
      </c>
      <c r="V137" s="159"/>
      <c r="W137" s="57">
        <f>SUM(W134:W136)</f>
        <v>6000</v>
      </c>
      <c r="X137" s="57">
        <f>SUM(X134:X136)</f>
        <v>26100</v>
      </c>
      <c r="Y137" s="57">
        <v>0</v>
      </c>
      <c r="Z137" s="51">
        <f>SUM(Z134:Z136)</f>
        <v>6900</v>
      </c>
      <c r="AA137" s="51">
        <f>SUM(AA134:AA136)</f>
        <v>33000</v>
      </c>
    </row>
    <row r="138" spans="1:168" s="75" customFormat="1" ht="15.5" x14ac:dyDescent="0.35">
      <c r="A138" s="20"/>
      <c r="B138" s="21" t="s">
        <v>133</v>
      </c>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row>
    <row r="139" spans="1:168" s="3" customFormat="1" ht="70.5" customHeight="1" x14ac:dyDescent="0.35">
      <c r="A139" s="37" t="s">
        <v>52</v>
      </c>
      <c r="B139" s="151" t="s">
        <v>0</v>
      </c>
      <c r="C139" s="152"/>
      <c r="D139" s="152"/>
      <c r="E139" s="152"/>
      <c r="F139" s="153"/>
      <c r="G139" s="130" t="s">
        <v>134</v>
      </c>
      <c r="H139" s="129"/>
      <c r="I139" s="129"/>
      <c r="J139" s="129"/>
      <c r="K139" s="129"/>
      <c r="L139" s="130" t="s">
        <v>121</v>
      </c>
      <c r="M139" s="130"/>
      <c r="N139" s="130"/>
      <c r="O139" s="130"/>
      <c r="P139" s="109" t="s">
        <v>135</v>
      </c>
      <c r="Q139" s="150"/>
      <c r="R139" s="150"/>
      <c r="S139" s="150"/>
      <c r="T139" s="110"/>
      <c r="U139" s="109" t="s">
        <v>136</v>
      </c>
      <c r="V139" s="110"/>
      <c r="W139" s="7" t="s">
        <v>125</v>
      </c>
      <c r="X139" s="5" t="s">
        <v>47</v>
      </c>
      <c r="Y139" s="7" t="s">
        <v>103</v>
      </c>
      <c r="Z139" s="7" t="s">
        <v>48</v>
      </c>
      <c r="AA139" s="7" t="s">
        <v>109</v>
      </c>
    </row>
    <row r="140" spans="1:168" s="3" customFormat="1" ht="15.5" x14ac:dyDescent="0.35">
      <c r="A140" s="5">
        <v>107</v>
      </c>
      <c r="B140" s="141" t="s">
        <v>276</v>
      </c>
      <c r="C140" s="142"/>
      <c r="D140" s="142"/>
      <c r="E140" s="142"/>
      <c r="F140" s="143"/>
      <c r="G140" s="145">
        <v>600</v>
      </c>
      <c r="H140" s="146"/>
      <c r="I140" s="146"/>
      <c r="J140" s="146"/>
      <c r="K140" s="147"/>
      <c r="L140" s="132">
        <v>1000</v>
      </c>
      <c r="M140" s="132"/>
      <c r="N140" s="132"/>
      <c r="O140" s="132"/>
      <c r="P140" s="134">
        <v>500</v>
      </c>
      <c r="Q140" s="144"/>
      <c r="R140" s="144"/>
      <c r="S140" s="144"/>
      <c r="T140" s="135"/>
      <c r="U140" s="134">
        <v>800</v>
      </c>
      <c r="V140" s="135"/>
      <c r="W140" s="41">
        <v>600</v>
      </c>
      <c r="X140" s="41">
        <v>3250</v>
      </c>
      <c r="Y140" s="41">
        <v>0</v>
      </c>
      <c r="Z140" s="41">
        <f>AA140-X140</f>
        <v>250</v>
      </c>
      <c r="AA140" s="41">
        <f>G140+L140+P140+U140+W140</f>
        <v>3500</v>
      </c>
    </row>
    <row r="141" spans="1:168" s="3" customFormat="1" ht="15.5" x14ac:dyDescent="0.35">
      <c r="A141" s="5">
        <v>108</v>
      </c>
      <c r="B141" s="141" t="s">
        <v>278</v>
      </c>
      <c r="C141" s="142"/>
      <c r="D141" s="142"/>
      <c r="E141" s="142"/>
      <c r="F141" s="143"/>
      <c r="G141" s="145">
        <v>600</v>
      </c>
      <c r="H141" s="146"/>
      <c r="I141" s="146"/>
      <c r="J141" s="146"/>
      <c r="K141" s="147"/>
      <c r="L141" s="132">
        <v>1000</v>
      </c>
      <c r="M141" s="132"/>
      <c r="N141" s="132"/>
      <c r="O141" s="132"/>
      <c r="P141" s="134">
        <v>500</v>
      </c>
      <c r="Q141" s="144"/>
      <c r="R141" s="144"/>
      <c r="S141" s="144"/>
      <c r="T141" s="135"/>
      <c r="U141" s="134">
        <v>800</v>
      </c>
      <c r="V141" s="135"/>
      <c r="W141" s="41">
        <v>600</v>
      </c>
      <c r="X141" s="41">
        <v>3250</v>
      </c>
      <c r="Y141" s="41">
        <v>0</v>
      </c>
      <c r="Z141" s="41">
        <f t="shared" ref="Z141:Z143" si="50">AA141-X141</f>
        <v>250</v>
      </c>
      <c r="AA141" s="41">
        <f t="shared" ref="AA141:AA143" si="51">G141+L141+P141+U141+W141</f>
        <v>3500</v>
      </c>
    </row>
    <row r="142" spans="1:168" s="3" customFormat="1" ht="15.5" x14ac:dyDescent="0.35">
      <c r="A142" s="5">
        <v>109</v>
      </c>
      <c r="B142" s="141" t="s">
        <v>277</v>
      </c>
      <c r="C142" s="142"/>
      <c r="D142" s="142"/>
      <c r="E142" s="142"/>
      <c r="F142" s="143"/>
      <c r="G142" s="145">
        <v>600</v>
      </c>
      <c r="H142" s="146"/>
      <c r="I142" s="146"/>
      <c r="J142" s="146"/>
      <c r="K142" s="147"/>
      <c r="L142" s="132">
        <v>1000</v>
      </c>
      <c r="M142" s="132"/>
      <c r="N142" s="132"/>
      <c r="O142" s="132"/>
      <c r="P142" s="134">
        <v>500</v>
      </c>
      <c r="Q142" s="144"/>
      <c r="R142" s="144"/>
      <c r="S142" s="144"/>
      <c r="T142" s="135"/>
      <c r="U142" s="134">
        <v>800</v>
      </c>
      <c r="V142" s="135"/>
      <c r="W142" s="41">
        <v>600</v>
      </c>
      <c r="X142" s="41">
        <v>3250</v>
      </c>
      <c r="Y142" s="41">
        <v>0</v>
      </c>
      <c r="Z142" s="41">
        <v>550</v>
      </c>
      <c r="AA142" s="41">
        <v>3800</v>
      </c>
    </row>
    <row r="143" spans="1:168" s="3" customFormat="1" ht="15.5" x14ac:dyDescent="0.35">
      <c r="A143" s="5">
        <v>110</v>
      </c>
      <c r="B143" s="141" t="s">
        <v>275</v>
      </c>
      <c r="C143" s="142"/>
      <c r="D143" s="142"/>
      <c r="E143" s="142"/>
      <c r="F143" s="143"/>
      <c r="G143" s="145">
        <v>600</v>
      </c>
      <c r="H143" s="146"/>
      <c r="I143" s="146"/>
      <c r="J143" s="146"/>
      <c r="K143" s="147"/>
      <c r="L143" s="132">
        <v>1000</v>
      </c>
      <c r="M143" s="132"/>
      <c r="N143" s="132"/>
      <c r="O143" s="132"/>
      <c r="P143" s="134">
        <v>500</v>
      </c>
      <c r="Q143" s="144"/>
      <c r="R143" s="144"/>
      <c r="S143" s="144"/>
      <c r="T143" s="135"/>
      <c r="U143" s="134">
        <v>800</v>
      </c>
      <c r="V143" s="135"/>
      <c r="W143" s="41">
        <v>600</v>
      </c>
      <c r="X143" s="41">
        <v>3250</v>
      </c>
      <c r="Y143" s="41">
        <v>0</v>
      </c>
      <c r="Z143" s="41">
        <f t="shared" si="50"/>
        <v>250</v>
      </c>
      <c r="AA143" s="41">
        <f t="shared" si="51"/>
        <v>3500</v>
      </c>
    </row>
    <row r="144" spans="1:168" s="2" customFormat="1" ht="15.5" x14ac:dyDescent="0.35">
      <c r="A144" s="156" t="s">
        <v>109</v>
      </c>
      <c r="B144" s="156"/>
      <c r="C144" s="156"/>
      <c r="D144" s="156"/>
      <c r="E144" s="156"/>
      <c r="F144" s="156"/>
      <c r="G144" s="160">
        <f>SUM(G140:K143)</f>
        <v>2400</v>
      </c>
      <c r="H144" s="161"/>
      <c r="I144" s="161"/>
      <c r="J144" s="161"/>
      <c r="K144" s="162"/>
      <c r="L144" s="163">
        <f>SUM(L140:O143)</f>
        <v>4000</v>
      </c>
      <c r="M144" s="163"/>
      <c r="N144" s="163"/>
      <c r="O144" s="163"/>
      <c r="P144" s="157">
        <f>SUM(P140:T143)</f>
        <v>2000</v>
      </c>
      <c r="Q144" s="158"/>
      <c r="R144" s="158"/>
      <c r="S144" s="158"/>
      <c r="T144" s="159"/>
      <c r="U144" s="157">
        <f>SUM(U140:V143)</f>
        <v>3200</v>
      </c>
      <c r="V144" s="159"/>
      <c r="W144" s="57">
        <f>SUM(W140:W143)</f>
        <v>2400</v>
      </c>
      <c r="X144" s="57">
        <f>SUM(X140:X143)</f>
        <v>13000</v>
      </c>
      <c r="Y144" s="57">
        <v>0</v>
      </c>
      <c r="Z144" s="51">
        <f>SUM(Z140:Z143)</f>
        <v>1300</v>
      </c>
      <c r="AA144" s="51">
        <f>SUM(AA140:AA143)</f>
        <v>14300</v>
      </c>
    </row>
    <row r="145" spans="1:168" s="75" customFormat="1" ht="15.5" x14ac:dyDescent="0.35">
      <c r="A145" s="20"/>
      <c r="B145" s="21" t="s">
        <v>152</v>
      </c>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row>
    <row r="146" spans="1:168" s="3" customFormat="1" ht="31" x14ac:dyDescent="0.35">
      <c r="A146" s="37" t="s">
        <v>52</v>
      </c>
      <c r="B146" s="151" t="s">
        <v>0</v>
      </c>
      <c r="C146" s="152"/>
      <c r="D146" s="152"/>
      <c r="E146" s="152"/>
      <c r="F146" s="153"/>
      <c r="G146" s="130" t="s">
        <v>134</v>
      </c>
      <c r="H146" s="129"/>
      <c r="I146" s="129"/>
      <c r="J146" s="129"/>
      <c r="K146" s="129"/>
      <c r="L146" s="130" t="s">
        <v>121</v>
      </c>
      <c r="M146" s="130"/>
      <c r="N146" s="130"/>
      <c r="O146" s="130"/>
      <c r="P146" s="109" t="s">
        <v>135</v>
      </c>
      <c r="Q146" s="150"/>
      <c r="R146" s="150"/>
      <c r="S146" s="150"/>
      <c r="T146" s="110"/>
      <c r="U146" s="109" t="s">
        <v>136</v>
      </c>
      <c r="V146" s="110"/>
      <c r="W146" s="7" t="s">
        <v>125</v>
      </c>
      <c r="X146" s="5" t="s">
        <v>47</v>
      </c>
      <c r="Y146" s="7" t="s">
        <v>103</v>
      </c>
      <c r="Z146" s="7" t="s">
        <v>48</v>
      </c>
      <c r="AA146" s="7" t="s">
        <v>109</v>
      </c>
    </row>
    <row r="147" spans="1:168" s="3" customFormat="1" ht="15.5" x14ac:dyDescent="0.35">
      <c r="A147" s="5">
        <v>111</v>
      </c>
      <c r="B147" s="141" t="s">
        <v>144</v>
      </c>
      <c r="C147" s="142"/>
      <c r="D147" s="142"/>
      <c r="E147" s="142"/>
      <c r="F147" s="143"/>
      <c r="G147" s="145">
        <v>600</v>
      </c>
      <c r="H147" s="146"/>
      <c r="I147" s="146"/>
      <c r="J147" s="146"/>
      <c r="K147" s="147"/>
      <c r="L147" s="132">
        <v>1000</v>
      </c>
      <c r="M147" s="132"/>
      <c r="N147" s="132"/>
      <c r="O147" s="132"/>
      <c r="P147" s="134">
        <v>600</v>
      </c>
      <c r="Q147" s="144"/>
      <c r="R147" s="144"/>
      <c r="S147" s="144"/>
      <c r="T147" s="135"/>
      <c r="U147" s="134">
        <v>800</v>
      </c>
      <c r="V147" s="135"/>
      <c r="W147" s="41">
        <v>0</v>
      </c>
      <c r="X147" s="41">
        <v>3000</v>
      </c>
      <c r="Y147" s="41">
        <v>0</v>
      </c>
      <c r="Z147" s="41">
        <f>AA147-X147</f>
        <v>0</v>
      </c>
      <c r="AA147" s="41">
        <f>G147+L147+P147+U147+W147</f>
        <v>3000</v>
      </c>
    </row>
    <row r="148" spans="1:168" s="2" customFormat="1" ht="15.5" x14ac:dyDescent="0.35">
      <c r="A148" s="156" t="s">
        <v>109</v>
      </c>
      <c r="B148" s="156"/>
      <c r="C148" s="156"/>
      <c r="D148" s="156"/>
      <c r="E148" s="156"/>
      <c r="F148" s="156"/>
      <c r="G148" s="160">
        <f>SUM(G147:K147)</f>
        <v>600</v>
      </c>
      <c r="H148" s="161"/>
      <c r="I148" s="161"/>
      <c r="J148" s="161"/>
      <c r="K148" s="162"/>
      <c r="L148" s="163">
        <f>SUM(L147:O147)</f>
        <v>1000</v>
      </c>
      <c r="M148" s="163"/>
      <c r="N148" s="163"/>
      <c r="O148" s="163"/>
      <c r="P148" s="157">
        <f>SUM(P147:T147)</f>
        <v>600</v>
      </c>
      <c r="Q148" s="158"/>
      <c r="R148" s="158"/>
      <c r="S148" s="158"/>
      <c r="T148" s="159"/>
      <c r="U148" s="157">
        <f>SUM(U147:V147)</f>
        <v>800</v>
      </c>
      <c r="V148" s="159"/>
      <c r="W148" s="57">
        <f>SUM(W147:W147)</f>
        <v>0</v>
      </c>
      <c r="X148" s="57">
        <f>SUM(X147:X147)</f>
        <v>3000</v>
      </c>
      <c r="Y148" s="57">
        <v>0</v>
      </c>
      <c r="Z148" s="51">
        <f>SUM(Z147:Z147)</f>
        <v>0</v>
      </c>
      <c r="AA148" s="51">
        <f>SUM(AA147:AA147)</f>
        <v>3000</v>
      </c>
    </row>
    <row r="149" spans="1:168" s="75" customFormat="1" ht="15.5" x14ac:dyDescent="0.35">
      <c r="A149" s="20"/>
      <c r="B149" s="21" t="s">
        <v>279</v>
      </c>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row>
    <row r="150" spans="1:168" s="3" customFormat="1" ht="70.5" customHeight="1" x14ac:dyDescent="0.35">
      <c r="A150" s="37" t="s">
        <v>52</v>
      </c>
      <c r="B150" s="151" t="s">
        <v>0</v>
      </c>
      <c r="C150" s="152"/>
      <c r="D150" s="152"/>
      <c r="E150" s="152"/>
      <c r="F150" s="153"/>
      <c r="G150" s="130" t="s">
        <v>134</v>
      </c>
      <c r="H150" s="129"/>
      <c r="I150" s="129"/>
      <c r="J150" s="129"/>
      <c r="K150" s="129"/>
      <c r="L150" s="130" t="s">
        <v>281</v>
      </c>
      <c r="M150" s="130"/>
      <c r="N150" s="130"/>
      <c r="O150" s="130"/>
      <c r="P150" s="109" t="s">
        <v>282</v>
      </c>
      <c r="Q150" s="150"/>
      <c r="R150" s="150"/>
      <c r="S150" s="150"/>
      <c r="T150" s="110"/>
      <c r="U150" s="109" t="s">
        <v>136</v>
      </c>
      <c r="V150" s="110"/>
      <c r="W150" s="7" t="s">
        <v>125</v>
      </c>
      <c r="X150" s="5" t="s">
        <v>47</v>
      </c>
      <c r="Y150" s="7" t="s">
        <v>103</v>
      </c>
      <c r="Z150" s="7" t="s">
        <v>48</v>
      </c>
      <c r="AA150" s="7" t="s">
        <v>109</v>
      </c>
    </row>
    <row r="151" spans="1:168" s="2" customFormat="1" ht="15.5" x14ac:dyDescent="0.35">
      <c r="A151" s="6">
        <v>112</v>
      </c>
      <c r="B151" s="164" t="s">
        <v>280</v>
      </c>
      <c r="C151" s="165"/>
      <c r="D151" s="165"/>
      <c r="E151" s="165"/>
      <c r="F151" s="166"/>
      <c r="G151" s="160">
        <v>300</v>
      </c>
      <c r="H151" s="161"/>
      <c r="I151" s="161"/>
      <c r="J151" s="161"/>
      <c r="K151" s="162"/>
      <c r="L151" s="163">
        <v>6700</v>
      </c>
      <c r="M151" s="163"/>
      <c r="N151" s="163"/>
      <c r="O151" s="163"/>
      <c r="P151" s="157">
        <v>1000</v>
      </c>
      <c r="Q151" s="158"/>
      <c r="R151" s="158"/>
      <c r="S151" s="158"/>
      <c r="T151" s="159"/>
      <c r="U151" s="157">
        <v>0</v>
      </c>
      <c r="V151" s="159"/>
      <c r="W151" s="57">
        <v>0</v>
      </c>
      <c r="X151" s="57">
        <v>0</v>
      </c>
      <c r="Y151" s="57">
        <v>0</v>
      </c>
      <c r="Z151" s="51">
        <f>AA151-X151</f>
        <v>8000</v>
      </c>
      <c r="AA151" s="51">
        <f>G151+L151+P151+U151+W151</f>
        <v>8000</v>
      </c>
    </row>
    <row r="152" spans="1:168" s="2" customFormat="1" ht="15.5" x14ac:dyDescent="0.35">
      <c r="A152" s="156" t="s">
        <v>109</v>
      </c>
      <c r="B152" s="156"/>
      <c r="C152" s="156"/>
      <c r="D152" s="156"/>
      <c r="E152" s="156"/>
      <c r="F152" s="156"/>
      <c r="G152" s="160">
        <f>SUM(G151:K151)</f>
        <v>300</v>
      </c>
      <c r="H152" s="161"/>
      <c r="I152" s="161"/>
      <c r="J152" s="161"/>
      <c r="K152" s="162"/>
      <c r="L152" s="163">
        <f>SUM(L151:O151)</f>
        <v>6700</v>
      </c>
      <c r="M152" s="163"/>
      <c r="N152" s="163"/>
      <c r="O152" s="163"/>
      <c r="P152" s="157">
        <f>SUM(P151:T151)</f>
        <v>1000</v>
      </c>
      <c r="Q152" s="158"/>
      <c r="R152" s="158"/>
      <c r="S152" s="158"/>
      <c r="T152" s="159"/>
      <c r="U152" s="157">
        <f>SUM(U151:V151)</f>
        <v>0</v>
      </c>
      <c r="V152" s="159"/>
      <c r="W152" s="57">
        <f>SUM(W151:W151)</f>
        <v>0</v>
      </c>
      <c r="X152" s="57">
        <f>SUM(X151:X151)</f>
        <v>0</v>
      </c>
      <c r="Y152" s="57">
        <v>0</v>
      </c>
      <c r="Z152" s="51">
        <f>SUM(Z151:Z151)</f>
        <v>8000</v>
      </c>
      <c r="AA152" s="51">
        <f>SUM(AA151:AA151)</f>
        <v>8000</v>
      </c>
    </row>
    <row r="153" spans="1:168" s="74" customFormat="1" ht="18.5" x14ac:dyDescent="0.35">
      <c r="A153" s="15" t="s">
        <v>119</v>
      </c>
      <c r="B153" s="120" t="s">
        <v>120</v>
      </c>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6">
        <f>X154+X157+X158+X167+X172+X166</f>
        <v>196425</v>
      </c>
      <c r="Y153" s="17">
        <f>Y166</f>
        <v>0</v>
      </c>
      <c r="Z153" s="17">
        <f>Z154+Z158+Z157+Z167+Z170+Z171+Z172+Z166</f>
        <v>170983.1</v>
      </c>
      <c r="AA153" s="16">
        <f>X153+Y153+Z153</f>
        <v>367408.1</v>
      </c>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row>
    <row r="154" spans="1:168" s="2" customFormat="1" ht="15.5" x14ac:dyDescent="0.35">
      <c r="A154" s="46" t="s">
        <v>137</v>
      </c>
      <c r="B154" s="168" t="s">
        <v>140</v>
      </c>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70">
        <f>SUM(X155:X156)</f>
        <v>90232</v>
      </c>
      <c r="Y154" s="70">
        <f t="shared" ref="Y154:AA154" si="52">SUM(Y155:Y156)</f>
        <v>0</v>
      </c>
      <c r="Z154" s="70">
        <f t="shared" si="52"/>
        <v>30000</v>
      </c>
      <c r="AA154" s="70">
        <f t="shared" si="52"/>
        <v>120232</v>
      </c>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row>
    <row r="155" spans="1:168" s="3" customFormat="1" ht="15.5" x14ac:dyDescent="0.35">
      <c r="A155" s="4" t="s">
        <v>138</v>
      </c>
      <c r="B155" s="167" t="s">
        <v>153</v>
      </c>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41">
        <v>88132</v>
      </c>
      <c r="Y155" s="41">
        <v>0</v>
      </c>
      <c r="Z155" s="41">
        <v>30000</v>
      </c>
      <c r="AA155" s="41">
        <f>X155+Z155</f>
        <v>118132</v>
      </c>
    </row>
    <row r="156" spans="1:168" s="3" customFormat="1" ht="15.5" x14ac:dyDescent="0.35">
      <c r="A156" s="4" t="s">
        <v>141</v>
      </c>
      <c r="B156" s="167" t="s">
        <v>154</v>
      </c>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41">
        <v>2100</v>
      </c>
      <c r="Y156" s="41">
        <v>0</v>
      </c>
      <c r="Z156" s="41">
        <v>0</v>
      </c>
      <c r="AA156" s="41">
        <v>2100</v>
      </c>
    </row>
    <row r="157" spans="1:168" s="2" customFormat="1" ht="15.5" x14ac:dyDescent="0.35">
      <c r="A157" s="46" t="s">
        <v>142</v>
      </c>
      <c r="B157" s="168" t="s">
        <v>143</v>
      </c>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70">
        <v>55000</v>
      </c>
      <c r="Y157" s="70">
        <v>0</v>
      </c>
      <c r="Z157" s="70">
        <v>5000</v>
      </c>
      <c r="AA157" s="70">
        <f>Z157+X157</f>
        <v>60000</v>
      </c>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row>
    <row r="158" spans="1:168" s="2" customFormat="1" ht="15.5" x14ac:dyDescent="0.35">
      <c r="A158" s="46" t="s">
        <v>155</v>
      </c>
      <c r="B158" s="168" t="s">
        <v>157</v>
      </c>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70">
        <f>SUM(X159:X165)</f>
        <v>4659</v>
      </c>
      <c r="Y158" s="70">
        <v>0</v>
      </c>
      <c r="Z158" s="70">
        <f>SUM(Z159:Z165)</f>
        <v>41983.1</v>
      </c>
      <c r="AA158" s="70">
        <f>Z158+X158</f>
        <v>46642.1</v>
      </c>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row>
    <row r="159" spans="1:168" s="3" customFormat="1" ht="15.5" x14ac:dyDescent="0.35">
      <c r="A159" s="4" t="s">
        <v>156</v>
      </c>
      <c r="B159" s="167" t="s">
        <v>164</v>
      </c>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41">
        <v>1500</v>
      </c>
      <c r="Y159" s="41">
        <v>0</v>
      </c>
      <c r="Z159" s="41">
        <v>0</v>
      </c>
      <c r="AA159" s="41">
        <f t="shared" ref="AA159:AA165" si="53">Z159+X159</f>
        <v>1500</v>
      </c>
    </row>
    <row r="160" spans="1:168" s="3" customFormat="1" ht="15.5" x14ac:dyDescent="0.35">
      <c r="A160" s="4" t="s">
        <v>158</v>
      </c>
      <c r="B160" s="167" t="s">
        <v>165</v>
      </c>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41">
        <v>459</v>
      </c>
      <c r="Y160" s="41">
        <v>0</v>
      </c>
      <c r="Z160" s="41">
        <v>0</v>
      </c>
      <c r="AA160" s="41">
        <f t="shared" si="53"/>
        <v>459</v>
      </c>
    </row>
    <row r="161" spans="1:168" s="3" customFormat="1" ht="15.5" x14ac:dyDescent="0.35">
      <c r="A161" s="4" t="s">
        <v>159</v>
      </c>
      <c r="B161" s="167" t="s">
        <v>166</v>
      </c>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41">
        <v>1200</v>
      </c>
      <c r="Y161" s="41">
        <v>0</v>
      </c>
      <c r="Z161" s="41">
        <v>0</v>
      </c>
      <c r="AA161" s="41">
        <f t="shared" si="53"/>
        <v>1200</v>
      </c>
    </row>
    <row r="162" spans="1:168" s="3" customFormat="1" ht="15.5" x14ac:dyDescent="0.35">
      <c r="A162" s="4" t="s">
        <v>160</v>
      </c>
      <c r="B162" s="167" t="s">
        <v>274</v>
      </c>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41">
        <v>600</v>
      </c>
      <c r="Y162" s="41">
        <v>0</v>
      </c>
      <c r="Z162" s="41">
        <v>15000</v>
      </c>
      <c r="AA162" s="41">
        <f t="shared" si="53"/>
        <v>15600</v>
      </c>
    </row>
    <row r="163" spans="1:168" s="3" customFormat="1" ht="15.5" x14ac:dyDescent="0.35">
      <c r="A163" s="4" t="s">
        <v>161</v>
      </c>
      <c r="B163" s="167" t="s">
        <v>167</v>
      </c>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41">
        <v>400</v>
      </c>
      <c r="Y163" s="41">
        <v>0</v>
      </c>
      <c r="Z163" s="41">
        <v>0</v>
      </c>
      <c r="AA163" s="41">
        <f t="shared" si="53"/>
        <v>400</v>
      </c>
    </row>
    <row r="164" spans="1:168" s="3" customFormat="1" ht="15.5" x14ac:dyDescent="0.35">
      <c r="A164" s="4" t="s">
        <v>162</v>
      </c>
      <c r="B164" s="167" t="s">
        <v>168</v>
      </c>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41">
        <v>0</v>
      </c>
      <c r="Y164" s="41">
        <v>0</v>
      </c>
      <c r="Z164" s="41">
        <v>26983.1</v>
      </c>
      <c r="AA164" s="41">
        <f t="shared" si="53"/>
        <v>26983.1</v>
      </c>
    </row>
    <row r="165" spans="1:168" s="3" customFormat="1" ht="15.5" x14ac:dyDescent="0.35">
      <c r="A165" s="4" t="s">
        <v>163</v>
      </c>
      <c r="B165" s="167" t="s">
        <v>273</v>
      </c>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41">
        <v>500</v>
      </c>
      <c r="Y165" s="41">
        <v>0</v>
      </c>
      <c r="Z165" s="41">
        <v>0</v>
      </c>
      <c r="AA165" s="41">
        <f t="shared" si="53"/>
        <v>500</v>
      </c>
    </row>
    <row r="166" spans="1:168" s="2" customFormat="1" ht="15.5" x14ac:dyDescent="0.35">
      <c r="A166" s="46" t="s">
        <v>169</v>
      </c>
      <c r="B166" s="168" t="s">
        <v>179</v>
      </c>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70">
        <v>39334</v>
      </c>
      <c r="Y166" s="70"/>
      <c r="Z166" s="70">
        <v>0</v>
      </c>
      <c r="AA166" s="70">
        <f>X166+Y166+Z166</f>
        <v>39334</v>
      </c>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row>
    <row r="167" spans="1:168" s="2" customFormat="1" ht="15.5" x14ac:dyDescent="0.35">
      <c r="A167" s="46" t="s">
        <v>173</v>
      </c>
      <c r="B167" s="168" t="s">
        <v>170</v>
      </c>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70">
        <f>X168+X169</f>
        <v>7200</v>
      </c>
      <c r="Y167" s="70">
        <f t="shared" ref="Y167:AA167" si="54">Y168+Y169</f>
        <v>0</v>
      </c>
      <c r="Z167" s="70">
        <f t="shared" si="54"/>
        <v>0</v>
      </c>
      <c r="AA167" s="70">
        <f t="shared" si="54"/>
        <v>7200</v>
      </c>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row>
    <row r="168" spans="1:168" s="3" customFormat="1" ht="15.5" x14ac:dyDescent="0.35">
      <c r="A168" s="4" t="s">
        <v>180</v>
      </c>
      <c r="B168" s="167" t="s">
        <v>171</v>
      </c>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41">
        <v>5950</v>
      </c>
      <c r="Y168" s="41">
        <v>0</v>
      </c>
      <c r="Z168" s="41">
        <v>0</v>
      </c>
      <c r="AA168" s="41">
        <f>X168+Z168</f>
        <v>5950</v>
      </c>
    </row>
    <row r="169" spans="1:168" s="3" customFormat="1" ht="15.5" x14ac:dyDescent="0.35">
      <c r="A169" s="4" t="s">
        <v>181</v>
      </c>
      <c r="B169" s="167" t="s">
        <v>172</v>
      </c>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41">
        <v>1250</v>
      </c>
      <c r="Y169" s="41">
        <v>0</v>
      </c>
      <c r="Z169" s="41">
        <v>0</v>
      </c>
      <c r="AA169" s="41">
        <v>1250</v>
      </c>
    </row>
    <row r="170" spans="1:168" s="2" customFormat="1" ht="15.5" x14ac:dyDescent="0.35">
      <c r="A170" s="46" t="s">
        <v>174</v>
      </c>
      <c r="B170" s="168" t="s">
        <v>175</v>
      </c>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70">
        <v>0</v>
      </c>
      <c r="Y170" s="70">
        <v>0</v>
      </c>
      <c r="Z170" s="70">
        <v>70000</v>
      </c>
      <c r="AA170" s="70">
        <v>70000</v>
      </c>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row>
    <row r="171" spans="1:168" s="2" customFormat="1" ht="15.5" x14ac:dyDescent="0.35">
      <c r="A171" s="46" t="s">
        <v>177</v>
      </c>
      <c r="B171" s="168" t="s">
        <v>176</v>
      </c>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70">
        <v>0</v>
      </c>
      <c r="Y171" s="70">
        <v>0</v>
      </c>
      <c r="Z171" s="70">
        <v>7000</v>
      </c>
      <c r="AA171" s="70">
        <v>5000</v>
      </c>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row>
    <row r="172" spans="1:168" s="2" customFormat="1" ht="15.5" x14ac:dyDescent="0.35">
      <c r="A172" s="46" t="s">
        <v>182</v>
      </c>
      <c r="B172" s="168" t="s">
        <v>178</v>
      </c>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70">
        <v>0</v>
      </c>
      <c r="Y172" s="70">
        <v>0</v>
      </c>
      <c r="Z172" s="70">
        <v>17000</v>
      </c>
      <c r="AA172" s="70">
        <v>10000</v>
      </c>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row>
    <row r="173" spans="1:168" s="74" customFormat="1" ht="18.5" x14ac:dyDescent="0.35">
      <c r="A173" s="15" t="s">
        <v>183</v>
      </c>
      <c r="B173" s="120" t="s">
        <v>187</v>
      </c>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6">
        <f>X174+X176+X184</f>
        <v>73652.500000000015</v>
      </c>
      <c r="Y173" s="17">
        <v>0</v>
      </c>
      <c r="Z173" s="17">
        <v>0</v>
      </c>
      <c r="AA173" s="16">
        <f>X173</f>
        <v>73652.500000000015</v>
      </c>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row>
    <row r="174" spans="1:168" s="2" customFormat="1" ht="15.5" x14ac:dyDescent="0.35">
      <c r="A174" s="46" t="s">
        <v>137</v>
      </c>
      <c r="B174" s="168" t="s">
        <v>184</v>
      </c>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70">
        <f>X175</f>
        <v>8994.6</v>
      </c>
      <c r="Y174" s="70">
        <v>0</v>
      </c>
      <c r="Z174" s="70">
        <v>0</v>
      </c>
      <c r="AA174" s="70">
        <f>AA175</f>
        <v>8994.6</v>
      </c>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row>
    <row r="175" spans="1:168" s="3" customFormat="1" ht="15.5" x14ac:dyDescent="0.35">
      <c r="A175" s="4" t="s">
        <v>138</v>
      </c>
      <c r="B175" s="167" t="s">
        <v>185</v>
      </c>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41">
        <v>8994.6</v>
      </c>
      <c r="Y175" s="41">
        <v>0</v>
      </c>
      <c r="Z175" s="41">
        <v>0</v>
      </c>
      <c r="AA175" s="41">
        <f>X175</f>
        <v>8994.6</v>
      </c>
    </row>
    <row r="176" spans="1:168" s="2" customFormat="1" ht="15.5" x14ac:dyDescent="0.35">
      <c r="A176" s="46" t="s">
        <v>142</v>
      </c>
      <c r="B176" s="168" t="s">
        <v>186</v>
      </c>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70">
        <f>SUM(X177:X183)</f>
        <v>58966.630000000005</v>
      </c>
      <c r="Y176" s="70">
        <v>0</v>
      </c>
      <c r="Z176" s="70">
        <v>0</v>
      </c>
      <c r="AA176" s="70">
        <f>X176</f>
        <v>58966.630000000005</v>
      </c>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row>
    <row r="177" spans="1:168" s="3" customFormat="1" ht="15.5" x14ac:dyDescent="0.35">
      <c r="A177" s="4" t="s">
        <v>188</v>
      </c>
      <c r="B177" s="167" t="s">
        <v>196</v>
      </c>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41">
        <f>1700+2654.44</f>
        <v>4354.4400000000005</v>
      </c>
      <c r="Y177" s="41">
        <v>0</v>
      </c>
      <c r="Z177" s="41">
        <v>0</v>
      </c>
      <c r="AA177" s="41">
        <f>X177</f>
        <v>4354.4400000000005</v>
      </c>
    </row>
    <row r="178" spans="1:168" s="3" customFormat="1" ht="15.5" x14ac:dyDescent="0.35">
      <c r="A178" s="4" t="s">
        <v>189</v>
      </c>
      <c r="B178" s="167" t="s">
        <v>197</v>
      </c>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41">
        <f>1920+6590.6+7963.39+2280+3726.2+2850</f>
        <v>25330.190000000002</v>
      </c>
      <c r="Y178" s="41">
        <v>0</v>
      </c>
      <c r="Z178" s="41">
        <v>0</v>
      </c>
      <c r="AA178" s="41">
        <f t="shared" ref="AA178:AA183" si="55">X178</f>
        <v>25330.190000000002</v>
      </c>
    </row>
    <row r="179" spans="1:168" s="3" customFormat="1" ht="15.5" x14ac:dyDescent="0.35">
      <c r="A179" s="4" t="s">
        <v>190</v>
      </c>
      <c r="B179" s="167" t="s">
        <v>198</v>
      </c>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41">
        <f>1486.59+1500+343.54+387.92</f>
        <v>3718.05</v>
      </c>
      <c r="Y179" s="41">
        <v>0</v>
      </c>
      <c r="Z179" s="41">
        <v>0</v>
      </c>
      <c r="AA179" s="41">
        <f t="shared" si="55"/>
        <v>3718.05</v>
      </c>
    </row>
    <row r="180" spans="1:168" s="3" customFormat="1" ht="15.5" x14ac:dyDescent="0.35">
      <c r="A180" s="4" t="s">
        <v>191</v>
      </c>
      <c r="B180" s="167" t="s">
        <v>199</v>
      </c>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41">
        <f>1500+1191.66+1076.41</f>
        <v>3768.0699999999997</v>
      </c>
      <c r="Y180" s="41">
        <v>0</v>
      </c>
      <c r="Z180" s="41">
        <v>0</v>
      </c>
      <c r="AA180" s="41">
        <f t="shared" si="55"/>
        <v>3768.0699999999997</v>
      </c>
    </row>
    <row r="181" spans="1:168" s="3" customFormat="1" ht="15.5" x14ac:dyDescent="0.35">
      <c r="A181" s="4" t="s">
        <v>192</v>
      </c>
      <c r="B181" s="167" t="s">
        <v>200</v>
      </c>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41">
        <f>2345.21+1000+1327.22+2151.2+559.74+1322.41</f>
        <v>8705.7800000000007</v>
      </c>
      <c r="Y181" s="41">
        <v>0</v>
      </c>
      <c r="Z181" s="41">
        <v>0</v>
      </c>
      <c r="AA181" s="41">
        <f t="shared" si="55"/>
        <v>8705.7800000000007</v>
      </c>
    </row>
    <row r="182" spans="1:168" s="3" customFormat="1" ht="15.5" x14ac:dyDescent="0.35">
      <c r="A182" s="4" t="s">
        <v>193</v>
      </c>
      <c r="B182" s="167" t="s">
        <v>201</v>
      </c>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41">
        <f>3038.8+2359.4+815+999.4</f>
        <v>7212.6</v>
      </c>
      <c r="Y182" s="41">
        <v>0</v>
      </c>
      <c r="Z182" s="41">
        <v>0</v>
      </c>
      <c r="AA182" s="41">
        <f t="shared" si="55"/>
        <v>7212.6</v>
      </c>
    </row>
    <row r="183" spans="1:168" s="3" customFormat="1" ht="15.5" x14ac:dyDescent="0.35">
      <c r="A183" s="4" t="s">
        <v>195</v>
      </c>
      <c r="B183" s="167" t="s">
        <v>202</v>
      </c>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41">
        <v>5877.5</v>
      </c>
      <c r="Y183" s="41">
        <v>0</v>
      </c>
      <c r="Z183" s="41">
        <v>0</v>
      </c>
      <c r="AA183" s="41">
        <f t="shared" si="55"/>
        <v>5877.5</v>
      </c>
    </row>
    <row r="184" spans="1:168" s="2" customFormat="1" ht="15.5" x14ac:dyDescent="0.35">
      <c r="A184" s="46" t="s">
        <v>155</v>
      </c>
      <c r="B184" s="168" t="s">
        <v>203</v>
      </c>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70">
        <f>SUM(X185:X189)</f>
        <v>5691.27</v>
      </c>
      <c r="Y184" s="70"/>
      <c r="Z184" s="70"/>
      <c r="AA184" s="70">
        <f>SUM(AA185:AA189)</f>
        <v>5691.27</v>
      </c>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row>
    <row r="185" spans="1:168" s="3" customFormat="1" ht="15.5" x14ac:dyDescent="0.35">
      <c r="A185" s="4" t="s">
        <v>188</v>
      </c>
      <c r="B185" s="167" t="s">
        <v>196</v>
      </c>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41">
        <v>3340</v>
      </c>
      <c r="Y185" s="41">
        <v>0</v>
      </c>
      <c r="Z185" s="41">
        <v>0</v>
      </c>
      <c r="AA185" s="41">
        <f>X185</f>
        <v>3340</v>
      </c>
    </row>
    <row r="186" spans="1:168" s="3" customFormat="1" ht="15.5" x14ac:dyDescent="0.35">
      <c r="A186" s="4" t="s">
        <v>189</v>
      </c>
      <c r="B186" s="167" t="s">
        <v>197</v>
      </c>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41">
        <v>1539</v>
      </c>
      <c r="Y186" s="41">
        <v>0</v>
      </c>
      <c r="Z186" s="41">
        <v>0</v>
      </c>
      <c r="AA186" s="41">
        <f t="shared" ref="AA186:AA189" si="56">X186</f>
        <v>1539</v>
      </c>
    </row>
    <row r="187" spans="1:168" s="3" customFormat="1" ht="15.5" x14ac:dyDescent="0.35">
      <c r="A187" s="4" t="s">
        <v>191</v>
      </c>
      <c r="B187" s="167" t="s">
        <v>199</v>
      </c>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41">
        <v>266</v>
      </c>
      <c r="Y187" s="41">
        <v>0</v>
      </c>
      <c r="Z187" s="41">
        <v>0</v>
      </c>
      <c r="AA187" s="41">
        <f t="shared" si="56"/>
        <v>266</v>
      </c>
    </row>
    <row r="188" spans="1:168" s="3" customFormat="1" ht="15.5" x14ac:dyDescent="0.35">
      <c r="A188" s="4" t="s">
        <v>192</v>
      </c>
      <c r="B188" s="167" t="s">
        <v>200</v>
      </c>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41">
        <v>460</v>
      </c>
      <c r="Y188" s="41">
        <v>0</v>
      </c>
      <c r="Z188" s="41">
        <v>0</v>
      </c>
      <c r="AA188" s="41">
        <f t="shared" si="56"/>
        <v>460</v>
      </c>
    </row>
    <row r="189" spans="1:168" s="3" customFormat="1" ht="15.5" x14ac:dyDescent="0.35">
      <c r="A189" s="4" t="s">
        <v>193</v>
      </c>
      <c r="B189" s="167" t="s">
        <v>201</v>
      </c>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41">
        <v>86.27</v>
      </c>
      <c r="Y189" s="41">
        <v>0</v>
      </c>
      <c r="Z189" s="41">
        <v>0</v>
      </c>
      <c r="AA189" s="41">
        <f t="shared" si="56"/>
        <v>86.27</v>
      </c>
    </row>
    <row r="190" spans="1:168" s="74" customFormat="1" ht="18.5" x14ac:dyDescent="0.35">
      <c r="A190" s="15" t="s">
        <v>204</v>
      </c>
      <c r="B190" s="120" t="s">
        <v>205</v>
      </c>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6">
        <f>X191+X197+X203</f>
        <v>20382.489999999998</v>
      </c>
      <c r="Y190" s="17">
        <v>0</v>
      </c>
      <c r="Z190" s="17">
        <v>0</v>
      </c>
      <c r="AA190" s="16">
        <f>X190</f>
        <v>20382.489999999998</v>
      </c>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row>
    <row r="191" spans="1:168" s="2" customFormat="1" ht="15.5" x14ac:dyDescent="0.35">
      <c r="A191" s="46" t="s">
        <v>137</v>
      </c>
      <c r="B191" s="168" t="s">
        <v>206</v>
      </c>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70">
        <f>SUM(X192:X196)</f>
        <v>10881.59</v>
      </c>
      <c r="Y191" s="70">
        <v>0</v>
      </c>
      <c r="Z191" s="70">
        <v>0</v>
      </c>
      <c r="AA191" s="70">
        <f>SUM(AA192:AA196)</f>
        <v>10881.59</v>
      </c>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row>
    <row r="192" spans="1:168" s="3" customFormat="1" ht="15.5" x14ac:dyDescent="0.35">
      <c r="A192" s="4" t="s">
        <v>138</v>
      </c>
      <c r="B192" s="167" t="s">
        <v>197</v>
      </c>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41">
        <f>4093+3246.35+800</f>
        <v>8139.35</v>
      </c>
      <c r="Y192" s="41">
        <v>0</v>
      </c>
      <c r="Z192" s="41">
        <v>0</v>
      </c>
      <c r="AA192" s="41">
        <f t="shared" ref="AA192:AA196" si="57">X192</f>
        <v>8139.35</v>
      </c>
    </row>
    <row r="193" spans="1:168" s="3" customFormat="1" ht="15.5" x14ac:dyDescent="0.35">
      <c r="A193" s="4" t="s">
        <v>141</v>
      </c>
      <c r="B193" s="167" t="s">
        <v>199</v>
      </c>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41">
        <f>266+266+133</f>
        <v>665</v>
      </c>
      <c r="Y193" s="41">
        <v>0</v>
      </c>
      <c r="Z193" s="41">
        <v>0</v>
      </c>
      <c r="AA193" s="41">
        <f t="shared" si="57"/>
        <v>665</v>
      </c>
    </row>
    <row r="194" spans="1:168" s="3" customFormat="1" ht="15.5" x14ac:dyDescent="0.35">
      <c r="A194" s="4" t="s">
        <v>207</v>
      </c>
      <c r="B194" s="167" t="s">
        <v>200</v>
      </c>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41">
        <f>150.66+500</f>
        <v>650.66</v>
      </c>
      <c r="Y194" s="41">
        <v>0</v>
      </c>
      <c r="Z194" s="41">
        <v>0</v>
      </c>
      <c r="AA194" s="41">
        <f t="shared" si="57"/>
        <v>650.66</v>
      </c>
    </row>
    <row r="195" spans="1:168" s="3" customFormat="1" ht="15.5" x14ac:dyDescent="0.35">
      <c r="A195" s="4" t="s">
        <v>208</v>
      </c>
      <c r="B195" s="167" t="s">
        <v>201</v>
      </c>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41">
        <f>174+128.74+86.27+128.74+408.83</f>
        <v>926.57999999999993</v>
      </c>
      <c r="Y195" s="41">
        <v>0</v>
      </c>
      <c r="Z195" s="41">
        <v>0</v>
      </c>
      <c r="AA195" s="41">
        <f t="shared" si="57"/>
        <v>926.57999999999993</v>
      </c>
    </row>
    <row r="196" spans="1:168" s="3" customFormat="1" ht="15.5" x14ac:dyDescent="0.35">
      <c r="A196" s="4" t="s">
        <v>209</v>
      </c>
      <c r="B196" s="167" t="s">
        <v>202</v>
      </c>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41">
        <v>500</v>
      </c>
      <c r="Y196" s="41">
        <v>0</v>
      </c>
      <c r="Z196" s="41">
        <v>0</v>
      </c>
      <c r="AA196" s="41">
        <f t="shared" si="57"/>
        <v>500</v>
      </c>
    </row>
    <row r="197" spans="1:168" s="2" customFormat="1" ht="15.5" x14ac:dyDescent="0.35">
      <c r="A197" s="46" t="s">
        <v>142</v>
      </c>
      <c r="B197" s="168" t="s">
        <v>210</v>
      </c>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70">
        <f>SUM(X198:X202)</f>
        <v>4483.3999999999996</v>
      </c>
      <c r="Y197" s="70">
        <v>0</v>
      </c>
      <c r="Z197" s="70">
        <v>0</v>
      </c>
      <c r="AA197" s="70">
        <f>X197</f>
        <v>4483.3999999999996</v>
      </c>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row>
    <row r="198" spans="1:168" s="3" customFormat="1" ht="15.5" x14ac:dyDescent="0.35">
      <c r="A198" s="4" t="s">
        <v>188</v>
      </c>
      <c r="B198" s="167" t="s">
        <v>197</v>
      </c>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41">
        <v>2450</v>
      </c>
      <c r="Y198" s="41">
        <v>0</v>
      </c>
      <c r="Z198" s="41">
        <v>0</v>
      </c>
      <c r="AA198" s="41">
        <f t="shared" ref="AA198:AA202" si="58">X198</f>
        <v>2450</v>
      </c>
    </row>
    <row r="199" spans="1:168" s="3" customFormat="1" ht="15.5" x14ac:dyDescent="0.35">
      <c r="A199" s="4" t="s">
        <v>189</v>
      </c>
      <c r="B199" s="167" t="s">
        <v>199</v>
      </c>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41">
        <v>266</v>
      </c>
      <c r="Y199" s="41">
        <v>0</v>
      </c>
      <c r="Z199" s="41">
        <v>0</v>
      </c>
      <c r="AA199" s="41">
        <f t="shared" si="58"/>
        <v>266</v>
      </c>
    </row>
    <row r="200" spans="1:168" s="3" customFormat="1" ht="15.5" x14ac:dyDescent="0.35">
      <c r="A200" s="4" t="s">
        <v>190</v>
      </c>
      <c r="B200" s="167" t="s">
        <v>200</v>
      </c>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41">
        <v>450</v>
      </c>
      <c r="Y200" s="41">
        <v>0</v>
      </c>
      <c r="Z200" s="41">
        <v>0</v>
      </c>
      <c r="AA200" s="41">
        <f t="shared" si="58"/>
        <v>450</v>
      </c>
    </row>
    <row r="201" spans="1:168" s="3" customFormat="1" ht="15.5" x14ac:dyDescent="0.35">
      <c r="A201" s="4" t="s">
        <v>191</v>
      </c>
      <c r="B201" s="167" t="s">
        <v>201</v>
      </c>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41">
        <f>588.66+128.74</f>
        <v>717.4</v>
      </c>
      <c r="Y201" s="41">
        <v>0</v>
      </c>
      <c r="Z201" s="41">
        <v>0</v>
      </c>
      <c r="AA201" s="41">
        <f t="shared" si="58"/>
        <v>717.4</v>
      </c>
    </row>
    <row r="202" spans="1:168" s="3" customFormat="1" ht="15.5" x14ac:dyDescent="0.35">
      <c r="A202" s="4" t="s">
        <v>194</v>
      </c>
      <c r="B202" s="167" t="s">
        <v>202</v>
      </c>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41">
        <v>600</v>
      </c>
      <c r="Y202" s="41">
        <v>0</v>
      </c>
      <c r="Z202" s="41">
        <v>0</v>
      </c>
      <c r="AA202" s="41">
        <f t="shared" si="58"/>
        <v>600</v>
      </c>
    </row>
    <row r="203" spans="1:168" s="2" customFormat="1" ht="15.5" x14ac:dyDescent="0.35">
      <c r="A203" s="46" t="s">
        <v>155</v>
      </c>
      <c r="B203" s="168" t="s">
        <v>211</v>
      </c>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70">
        <f>SUM(X204:X208)</f>
        <v>5017.5</v>
      </c>
      <c r="Y203" s="70">
        <v>0</v>
      </c>
      <c r="Z203" s="70">
        <v>0</v>
      </c>
      <c r="AA203" s="70">
        <f>X203</f>
        <v>5017.5</v>
      </c>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row>
    <row r="204" spans="1:168" s="3" customFormat="1" ht="15.5" x14ac:dyDescent="0.35">
      <c r="A204" s="4" t="s">
        <v>156</v>
      </c>
      <c r="B204" s="167" t="s">
        <v>196</v>
      </c>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41">
        <f>642.75+800</f>
        <v>1442.75</v>
      </c>
      <c r="Y204" s="41">
        <v>0</v>
      </c>
      <c r="Z204" s="41">
        <v>0</v>
      </c>
      <c r="AA204" s="41">
        <f>X204</f>
        <v>1442.75</v>
      </c>
    </row>
    <row r="205" spans="1:168" s="3" customFormat="1" ht="15.5" x14ac:dyDescent="0.35">
      <c r="A205" s="4" t="s">
        <v>158</v>
      </c>
      <c r="B205" s="167" t="s">
        <v>197</v>
      </c>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41">
        <f>1800</f>
        <v>1800</v>
      </c>
      <c r="Y205" s="41">
        <v>0</v>
      </c>
      <c r="Z205" s="41">
        <v>0</v>
      </c>
      <c r="AA205" s="41">
        <f t="shared" ref="AA205:AA208" si="59">X205</f>
        <v>1800</v>
      </c>
    </row>
    <row r="206" spans="1:168" s="3" customFormat="1" ht="15.5" x14ac:dyDescent="0.35">
      <c r="A206" s="4" t="s">
        <v>159</v>
      </c>
      <c r="B206" s="167" t="s">
        <v>199</v>
      </c>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41">
        <f>266*2</f>
        <v>532</v>
      </c>
      <c r="Y206" s="41">
        <v>0</v>
      </c>
      <c r="Z206" s="41">
        <v>0</v>
      </c>
      <c r="AA206" s="41">
        <f t="shared" si="59"/>
        <v>532</v>
      </c>
    </row>
    <row r="207" spans="1:168" s="3" customFormat="1" ht="15.5" x14ac:dyDescent="0.35">
      <c r="A207" s="4" t="s">
        <v>160</v>
      </c>
      <c r="B207" s="167" t="s">
        <v>201</v>
      </c>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41">
        <f>342.75+300</f>
        <v>642.75</v>
      </c>
      <c r="Y207" s="41">
        <v>0</v>
      </c>
      <c r="Z207" s="41">
        <v>0</v>
      </c>
      <c r="AA207" s="41">
        <f t="shared" si="59"/>
        <v>642.75</v>
      </c>
    </row>
    <row r="208" spans="1:168" s="3" customFormat="1" ht="15.5" x14ac:dyDescent="0.35">
      <c r="A208" s="4" t="s">
        <v>161</v>
      </c>
      <c r="B208" s="167" t="s">
        <v>202</v>
      </c>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41">
        <f>600</f>
        <v>600</v>
      </c>
      <c r="Y208" s="41">
        <v>0</v>
      </c>
      <c r="Z208" s="41">
        <v>0</v>
      </c>
      <c r="AA208" s="41">
        <f t="shared" si="59"/>
        <v>600</v>
      </c>
    </row>
    <row r="209" spans="1:168" s="74" customFormat="1" ht="18.5" x14ac:dyDescent="0.35">
      <c r="A209" s="15" t="s">
        <v>212</v>
      </c>
      <c r="B209" s="120" t="s">
        <v>213</v>
      </c>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6">
        <f>X210</f>
        <v>130600</v>
      </c>
      <c r="Y209" s="17">
        <v>0</v>
      </c>
      <c r="Z209" s="17">
        <v>0</v>
      </c>
      <c r="AA209" s="16">
        <f>AA210</f>
        <v>130600</v>
      </c>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row>
    <row r="210" spans="1:168" s="3" customFormat="1" ht="15.5" x14ac:dyDescent="0.35">
      <c r="A210" s="4" t="s">
        <v>137</v>
      </c>
      <c r="B210" s="167" t="s">
        <v>214</v>
      </c>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41">
        <v>130600</v>
      </c>
      <c r="Y210" s="41">
        <v>0</v>
      </c>
      <c r="Z210" s="41">
        <v>0</v>
      </c>
      <c r="AA210" s="41">
        <v>130600</v>
      </c>
    </row>
    <row r="211" spans="1:168" ht="15.5" x14ac:dyDescent="0.35">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row>
    <row r="212" spans="1:168" ht="15.5" x14ac:dyDescent="0.35">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row>
    <row r="213" spans="1:168" ht="15.5" x14ac:dyDescent="0.35">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row>
    <row r="214" spans="1:168" ht="15.5" x14ac:dyDescent="0.35">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row>
    <row r="215" spans="1:168" ht="15.5" x14ac:dyDescent="0.35">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row>
    <row r="216" spans="1:168" ht="15.5" x14ac:dyDescent="0.35">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row>
    <row r="217" spans="1:168" ht="15.5" x14ac:dyDescent="0.35">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row>
    <row r="218" spans="1:168" ht="15.5" x14ac:dyDescent="0.35">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row>
    <row r="219" spans="1:168" ht="15.5" x14ac:dyDescent="0.35">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row>
    <row r="220" spans="1:168" ht="15.5" x14ac:dyDescent="0.35">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row>
    <row r="221" spans="1:168" ht="15.5" x14ac:dyDescent="0.35">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row>
    <row r="222" spans="1:168" ht="15.5" x14ac:dyDescent="0.35">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row>
    <row r="223" spans="1:168" ht="15.5" x14ac:dyDescent="0.35">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row>
    <row r="224" spans="1:168" ht="15.5" x14ac:dyDescent="0.35">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row>
    <row r="225" spans="28:168" ht="15.5" x14ac:dyDescent="0.35">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row>
    <row r="226" spans="28:168" ht="15.5" x14ac:dyDescent="0.35">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row>
    <row r="227" spans="28:168" ht="15.5" x14ac:dyDescent="0.35">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row>
    <row r="228" spans="28:168" ht="15.5" x14ac:dyDescent="0.35">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row>
    <row r="229" spans="28:168" ht="15.5" x14ac:dyDescent="0.35">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row>
    <row r="230" spans="28:168" ht="15.5" x14ac:dyDescent="0.35">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row>
    <row r="231" spans="28:168" ht="15.5" x14ac:dyDescent="0.35">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row>
    <row r="232" spans="28:168" ht="15.5" x14ac:dyDescent="0.35">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row>
    <row r="233" spans="28:168" ht="15.5" x14ac:dyDescent="0.35">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row>
    <row r="234" spans="28:168" ht="15.5" x14ac:dyDescent="0.35">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row>
    <row r="235" spans="28:168" ht="15.5" x14ac:dyDescent="0.35">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row>
    <row r="236" spans="28:168" ht="15.5" x14ac:dyDescent="0.35">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row>
    <row r="237" spans="28:168" ht="15.5" x14ac:dyDescent="0.35">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row>
    <row r="238" spans="28:168" ht="15.5" x14ac:dyDescent="0.35">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row>
    <row r="239" spans="28:168" ht="15.5" x14ac:dyDescent="0.35">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row>
    <row r="240" spans="28:168" ht="15.5" x14ac:dyDescent="0.35">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row>
    <row r="241" spans="28:168" ht="15.5" x14ac:dyDescent="0.35">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row>
    <row r="242" spans="28:168" ht="15.5" x14ac:dyDescent="0.35">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row>
    <row r="243" spans="28:168" ht="15.5" x14ac:dyDescent="0.35">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row>
    <row r="244" spans="28:168" ht="15.5" x14ac:dyDescent="0.35">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row>
    <row r="245" spans="28:168" ht="15.5" x14ac:dyDescent="0.35">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row>
    <row r="246" spans="28:168" ht="15.5" x14ac:dyDescent="0.35">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row>
    <row r="247" spans="28:168" ht="15.5" x14ac:dyDescent="0.35">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row>
    <row r="248" spans="28:168" ht="15.5" x14ac:dyDescent="0.35">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row>
    <row r="249" spans="28:168" ht="15.5" x14ac:dyDescent="0.35">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row>
    <row r="250" spans="28:168" ht="15.5" x14ac:dyDescent="0.35">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row>
    <row r="251" spans="28:168" ht="15.5" x14ac:dyDescent="0.35">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row>
    <row r="252" spans="28:168" ht="15.5" x14ac:dyDescent="0.35">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row>
    <row r="253" spans="28:168" ht="15.5" x14ac:dyDescent="0.35">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row>
    <row r="254" spans="28:168" ht="15.5" x14ac:dyDescent="0.35">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row>
    <row r="255" spans="28:168" ht="15.5" x14ac:dyDescent="0.35">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row>
    <row r="256" spans="28:168" ht="15.5" x14ac:dyDescent="0.35">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row>
    <row r="257" spans="28:168" ht="15.5" x14ac:dyDescent="0.35">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row>
    <row r="258" spans="28:168" ht="15.5" x14ac:dyDescent="0.35">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row>
    <row r="259" spans="28:168" ht="15.5" x14ac:dyDescent="0.35">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row>
    <row r="260" spans="28:168" ht="15.5" x14ac:dyDescent="0.35">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row>
    <row r="261" spans="28:168" ht="15.5" x14ac:dyDescent="0.35">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row>
    <row r="262" spans="28:168" ht="15.5" x14ac:dyDescent="0.35">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row>
    <row r="263" spans="28:168" ht="15.5" x14ac:dyDescent="0.35">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row>
    <row r="264" spans="28:168" ht="15.5" x14ac:dyDescent="0.35">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row>
    <row r="265" spans="28:168" ht="15.5" x14ac:dyDescent="0.35">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row>
    <row r="266" spans="28:168" ht="15.5" x14ac:dyDescent="0.35">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row>
    <row r="267" spans="28:168" ht="15.5" x14ac:dyDescent="0.35">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row>
    <row r="268" spans="28:168" ht="15.5" x14ac:dyDescent="0.35">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row>
    <row r="269" spans="28:168" ht="15.5" x14ac:dyDescent="0.35">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row>
    <row r="270" spans="28:168" ht="15.5" x14ac:dyDescent="0.35">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row>
    <row r="271" spans="28:168" ht="15.5" x14ac:dyDescent="0.35">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row>
    <row r="272" spans="28:168" ht="15.5" x14ac:dyDescent="0.35">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row>
    <row r="273" spans="28:168" ht="15.5" x14ac:dyDescent="0.35">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row>
    <row r="274" spans="28:168" ht="15.5" x14ac:dyDescent="0.35">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row>
    <row r="275" spans="28:168" ht="15.5" x14ac:dyDescent="0.35">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row>
    <row r="276" spans="28:168" ht="15.5" x14ac:dyDescent="0.35">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row>
    <row r="277" spans="28:168" ht="15.5" x14ac:dyDescent="0.35">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row>
    <row r="278" spans="28:168" ht="15.5" x14ac:dyDescent="0.35">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row>
    <row r="279" spans="28:168" ht="15.5" x14ac:dyDescent="0.35">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row>
    <row r="280" spans="28:168" ht="15.5" x14ac:dyDescent="0.35">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row>
    <row r="281" spans="28:168" ht="15.5" x14ac:dyDescent="0.35">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row>
    <row r="282" spans="28:168" ht="15.5" x14ac:dyDescent="0.35">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row>
    <row r="283" spans="28:168" ht="15.5" x14ac:dyDescent="0.35">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row>
    <row r="284" spans="28:168" ht="15.5" x14ac:dyDescent="0.35">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row>
    <row r="285" spans="28:168" ht="15.5" x14ac:dyDescent="0.35">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row>
    <row r="286" spans="28:168" ht="15.5" x14ac:dyDescent="0.35">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row>
    <row r="287" spans="28:168" ht="15.5" x14ac:dyDescent="0.35">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row>
    <row r="288" spans="28:168" ht="15.5" x14ac:dyDescent="0.35">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row>
    <row r="289" spans="28:168" ht="15.5" x14ac:dyDescent="0.35">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row>
    <row r="290" spans="28:168" ht="15.5" x14ac:dyDescent="0.35">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row>
    <row r="291" spans="28:168" ht="15.5" x14ac:dyDescent="0.35">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row>
    <row r="292" spans="28:168" ht="15.5" x14ac:dyDescent="0.35">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row>
    <row r="293" spans="28:168" ht="15.5" x14ac:dyDescent="0.35">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row>
    <row r="294" spans="28:168" ht="15.5" x14ac:dyDescent="0.35">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row>
    <row r="295" spans="28:168" ht="15.5" x14ac:dyDescent="0.35">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row>
    <row r="296" spans="28:168" ht="15.5" x14ac:dyDescent="0.35">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row>
    <row r="297" spans="28:168" ht="15.5" x14ac:dyDescent="0.35">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row>
    <row r="298" spans="28:168" ht="15.5" x14ac:dyDescent="0.35">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row>
    <row r="299" spans="28:168" ht="15.5" x14ac:dyDescent="0.35">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row>
    <row r="300" spans="28:168" ht="15.5" x14ac:dyDescent="0.35">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row>
    <row r="301" spans="28:168" ht="15.5" x14ac:dyDescent="0.35">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row>
    <row r="302" spans="28:168" ht="15.5" x14ac:dyDescent="0.35">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row>
    <row r="303" spans="28:168" ht="15.5" x14ac:dyDescent="0.35">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row>
    <row r="304" spans="28:168" ht="15.5" x14ac:dyDescent="0.35">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row>
    <row r="305" spans="28:168" ht="15.5" x14ac:dyDescent="0.35">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row>
    <row r="306" spans="28:168" ht="15.5" x14ac:dyDescent="0.35">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row>
    <row r="307" spans="28:168" ht="15.5" x14ac:dyDescent="0.35">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row>
    <row r="308" spans="28:168" ht="15.5" x14ac:dyDescent="0.35">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row>
    <row r="309" spans="28:168" ht="15.5" x14ac:dyDescent="0.35">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row>
    <row r="310" spans="28:168" ht="15.5" x14ac:dyDescent="0.35">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row>
    <row r="311" spans="28:168" ht="15.5" x14ac:dyDescent="0.35">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row>
    <row r="312" spans="28:168" ht="15.5" x14ac:dyDescent="0.35">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row>
    <row r="313" spans="28:168" ht="15.5" x14ac:dyDescent="0.35">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row>
    <row r="314" spans="28:168" ht="15.5" x14ac:dyDescent="0.35">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row>
    <row r="315" spans="28:168" ht="15.5" x14ac:dyDescent="0.35">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row>
    <row r="316" spans="28:168" ht="15.5" x14ac:dyDescent="0.35">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row>
    <row r="317" spans="28:168" ht="15.5" x14ac:dyDescent="0.35">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row>
    <row r="318" spans="28:168" ht="15.5" x14ac:dyDescent="0.35">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row>
    <row r="319" spans="28:168" ht="15.5" x14ac:dyDescent="0.35">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row>
    <row r="320" spans="28:168" ht="15.5" x14ac:dyDescent="0.35">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row>
    <row r="321" spans="28:168" ht="15.5" x14ac:dyDescent="0.35">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row>
    <row r="322" spans="28:168" ht="15.5" x14ac:dyDescent="0.35">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row>
    <row r="323" spans="28:168" ht="15.5" x14ac:dyDescent="0.35">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row>
    <row r="324" spans="28:168" ht="15.5" x14ac:dyDescent="0.35">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row>
    <row r="325" spans="28:168" ht="15.5" x14ac:dyDescent="0.35">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row>
    <row r="326" spans="28:168" ht="15.5" x14ac:dyDescent="0.35">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row>
    <row r="327" spans="28:168" ht="15.5" x14ac:dyDescent="0.35">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row>
    <row r="328" spans="28:168" ht="15.5" x14ac:dyDescent="0.35">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row>
    <row r="329" spans="28:168" ht="15.5" x14ac:dyDescent="0.35">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row>
    <row r="330" spans="28:168" ht="15.5" x14ac:dyDescent="0.35">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row>
    <row r="331" spans="28:168" ht="15.5" x14ac:dyDescent="0.35">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row>
    <row r="332" spans="28:168" ht="15.5" x14ac:dyDescent="0.35">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row>
    <row r="333" spans="28:168" ht="15.5" x14ac:dyDescent="0.35">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row>
    <row r="334" spans="28:168" ht="15.5" x14ac:dyDescent="0.35">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row>
    <row r="335" spans="28:168" ht="15.5" x14ac:dyDescent="0.35">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row>
    <row r="336" spans="28:168" ht="15.5" x14ac:dyDescent="0.35">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row>
    <row r="337" spans="28:168" ht="15.5" x14ac:dyDescent="0.35">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row>
    <row r="338" spans="28:168" ht="15.5" x14ac:dyDescent="0.35">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row>
    <row r="339" spans="28:168" ht="15.5" x14ac:dyDescent="0.35">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row>
    <row r="340" spans="28:168" ht="15.5" x14ac:dyDescent="0.35">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row>
    <row r="341" spans="28:168" ht="15.5" x14ac:dyDescent="0.35">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row>
    <row r="342" spans="28:168" ht="15.5" x14ac:dyDescent="0.35">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row>
    <row r="343" spans="28:168" ht="15.5" x14ac:dyDescent="0.35">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row>
    <row r="344" spans="28:168" ht="15.5" x14ac:dyDescent="0.35">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row>
    <row r="345" spans="28:168" ht="15.5" x14ac:dyDescent="0.35">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row>
    <row r="346" spans="28:168" ht="15.5" x14ac:dyDescent="0.35">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row>
    <row r="347" spans="28:168" ht="15.5" x14ac:dyDescent="0.35">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row>
    <row r="348" spans="28:168" ht="15.5" x14ac:dyDescent="0.35">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row>
    <row r="349" spans="28:168" ht="15.5" x14ac:dyDescent="0.35">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row>
    <row r="350" spans="28:168" ht="15.5" x14ac:dyDescent="0.35">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row>
    <row r="351" spans="28:168" ht="15.5" x14ac:dyDescent="0.35">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row>
    <row r="352" spans="28:168" ht="15.5" x14ac:dyDescent="0.35">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row>
    <row r="353" spans="28:168" ht="15.5" x14ac:dyDescent="0.35">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row>
    <row r="354" spans="28:168" ht="15.5" x14ac:dyDescent="0.35">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row>
    <row r="355" spans="28:168" ht="15.5" x14ac:dyDescent="0.35">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row>
    <row r="356" spans="28:168" ht="15.5" x14ac:dyDescent="0.35">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row>
    <row r="357" spans="28:168" ht="15.5" x14ac:dyDescent="0.35">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row>
    <row r="358" spans="28:168" ht="15.5" x14ac:dyDescent="0.35">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row>
    <row r="359" spans="28:168" ht="15.5" x14ac:dyDescent="0.35">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row>
    <row r="360" spans="28:168" ht="15.5" x14ac:dyDescent="0.35">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row>
    <row r="361" spans="28:168" ht="15.5" x14ac:dyDescent="0.35">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row>
    <row r="362" spans="28:168" ht="15.5" x14ac:dyDescent="0.35">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row>
    <row r="363" spans="28:168" ht="15.5" x14ac:dyDescent="0.35">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row>
    <row r="364" spans="28:168" ht="15.5" x14ac:dyDescent="0.35">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row>
    <row r="365" spans="28:168" ht="15.5" x14ac:dyDescent="0.35">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row>
    <row r="366" spans="28:168" ht="15.5" x14ac:dyDescent="0.35">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row>
    <row r="367" spans="28:168" ht="15.5" x14ac:dyDescent="0.35">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row>
    <row r="368" spans="28:168" ht="15.5" x14ac:dyDescent="0.35">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row>
    <row r="369" spans="28:168" ht="15.5" x14ac:dyDescent="0.35">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row>
    <row r="370" spans="28:168" ht="15.5" x14ac:dyDescent="0.35">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row>
    <row r="371" spans="28:168" ht="15.5" x14ac:dyDescent="0.35">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row>
    <row r="372" spans="28:168" ht="15.5" x14ac:dyDescent="0.35">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row>
    <row r="373" spans="28:168" ht="15.5" x14ac:dyDescent="0.35">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row>
    <row r="374" spans="28:168" ht="15.5" x14ac:dyDescent="0.35">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row>
    <row r="375" spans="28:168" ht="15.5" x14ac:dyDescent="0.35">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row>
    <row r="376" spans="28:168" ht="15.5" x14ac:dyDescent="0.35">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row>
    <row r="377" spans="28:168" ht="15.5" x14ac:dyDescent="0.35">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row>
    <row r="378" spans="28:168" ht="15.5" x14ac:dyDescent="0.35">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row>
    <row r="379" spans="28:168" ht="15.5" x14ac:dyDescent="0.35">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row>
    <row r="380" spans="28:168" ht="15.5" x14ac:dyDescent="0.35">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row>
    <row r="381" spans="28:168" ht="15.5" x14ac:dyDescent="0.35">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row>
    <row r="382" spans="28:168" ht="15.5" x14ac:dyDescent="0.35">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row>
    <row r="383" spans="28:168" ht="15.5" x14ac:dyDescent="0.35">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row>
    <row r="384" spans="28:168" ht="15.5" x14ac:dyDescent="0.35">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row>
    <row r="385" spans="28:168" ht="15.5" x14ac:dyDescent="0.35">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row>
    <row r="386" spans="28:168" ht="15.5" x14ac:dyDescent="0.35">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row>
    <row r="387" spans="28:168" ht="15.5" x14ac:dyDescent="0.35">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row>
    <row r="388" spans="28:168" ht="15.5" x14ac:dyDescent="0.35">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row>
    <row r="389" spans="28:168" ht="15.5" x14ac:dyDescent="0.35">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row>
    <row r="390" spans="28:168" ht="15.5" x14ac:dyDescent="0.35">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row>
    <row r="391" spans="28:168" ht="15.5" x14ac:dyDescent="0.35">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row>
    <row r="392" spans="28:168" ht="15.5" x14ac:dyDescent="0.35">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row>
    <row r="393" spans="28:168" ht="15.5" x14ac:dyDescent="0.35">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row>
    <row r="394" spans="28:168" ht="15.5" x14ac:dyDescent="0.35">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row>
    <row r="395" spans="28:168" ht="15.5" x14ac:dyDescent="0.35">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row>
    <row r="396" spans="28:168" ht="15.5" x14ac:dyDescent="0.35">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row>
    <row r="397" spans="28:168" ht="15.5" x14ac:dyDescent="0.35">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row>
    <row r="398" spans="28:168" ht="15.5" x14ac:dyDescent="0.35">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row>
    <row r="399" spans="28:168" ht="15.5" x14ac:dyDescent="0.35">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row>
    <row r="400" spans="28:168" ht="15.5" x14ac:dyDescent="0.35">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row>
    <row r="401" spans="28:168" ht="15.5" x14ac:dyDescent="0.35">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row>
    <row r="402" spans="28:168" ht="15.5" x14ac:dyDescent="0.35">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row>
    <row r="403" spans="28:168" ht="15.5" x14ac:dyDescent="0.35">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row>
    <row r="404" spans="28:168" ht="15.5" x14ac:dyDescent="0.35">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row>
    <row r="405" spans="28:168" ht="15.5" x14ac:dyDescent="0.35">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row>
    <row r="406" spans="28:168" ht="15.5" x14ac:dyDescent="0.35">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row>
    <row r="407" spans="28:168" ht="15.5" x14ac:dyDescent="0.35">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row>
    <row r="408" spans="28:168" ht="15.5" x14ac:dyDescent="0.35">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row>
    <row r="409" spans="28:168" ht="15.5" x14ac:dyDescent="0.35">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row>
    <row r="410" spans="28:168" ht="15.5" x14ac:dyDescent="0.35">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row>
    <row r="411" spans="28:168" ht="15.5" x14ac:dyDescent="0.35">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row>
    <row r="412" spans="28:168" ht="15.5" x14ac:dyDescent="0.35">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row>
    <row r="413" spans="28:168" ht="15.5" x14ac:dyDescent="0.35">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row>
    <row r="414" spans="28:168" ht="15.5" x14ac:dyDescent="0.35">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row>
    <row r="415" spans="28:168" ht="15.5" x14ac:dyDescent="0.35">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row>
    <row r="416" spans="28:168" ht="15.5" x14ac:dyDescent="0.35">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row>
    <row r="417" spans="28:168" ht="15.5" x14ac:dyDescent="0.35">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row>
    <row r="418" spans="28:168" ht="15.5" x14ac:dyDescent="0.35">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row>
    <row r="419" spans="28:168" ht="15.5" x14ac:dyDescent="0.35">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row>
    <row r="420" spans="28:168" ht="15.5" x14ac:dyDescent="0.35">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row>
    <row r="421" spans="28:168" ht="15.5" x14ac:dyDescent="0.35">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row>
    <row r="422" spans="28:168" ht="15.5" x14ac:dyDescent="0.35">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row>
    <row r="423" spans="28:168" ht="15.5" x14ac:dyDescent="0.35">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row>
    <row r="424" spans="28:168" ht="15.5" x14ac:dyDescent="0.35">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row>
  </sheetData>
  <sheetProtection algorithmName="SHA-512" hashValue="FUm/Tb0WKTLv+iqKAgd8QaWZPEFUsQJyyy7TTmEyJfwy1QQuMXtjxoBDRvr8FnTq+LDiRkTai9eqyFhZ78eBlA==" saltValue="g2jRgqBstLk9pXe1UCv3LA==" spinCount="100000" sheet="1" objects="1" scenarios="1" selectLockedCells="1" selectUnlockedCells="1"/>
  <mergeCells count="392">
    <mergeCell ref="B209:W209"/>
    <mergeCell ref="B208:W208"/>
    <mergeCell ref="B210:W210"/>
    <mergeCell ref="B202:W202"/>
    <mergeCell ref="B203:W203"/>
    <mergeCell ref="B204:W204"/>
    <mergeCell ref="B205:W205"/>
    <mergeCell ref="B206:W206"/>
    <mergeCell ref="B190:W190"/>
    <mergeCell ref="B191:W191"/>
    <mergeCell ref="B192:W192"/>
    <mergeCell ref="B193:W193"/>
    <mergeCell ref="B198:W198"/>
    <mergeCell ref="B199:W199"/>
    <mergeCell ref="B200:W200"/>
    <mergeCell ref="B201:W201"/>
    <mergeCell ref="B194:W194"/>
    <mergeCell ref="B195:W195"/>
    <mergeCell ref="B196:W196"/>
    <mergeCell ref="B197:W197"/>
    <mergeCell ref="B207:W207"/>
    <mergeCell ref="B187:W187"/>
    <mergeCell ref="B188:W188"/>
    <mergeCell ref="B189:W189"/>
    <mergeCell ref="P150:T150"/>
    <mergeCell ref="U150:V150"/>
    <mergeCell ref="A152:F152"/>
    <mergeCell ref="B183:W183"/>
    <mergeCell ref="B184:W184"/>
    <mergeCell ref="B185:W185"/>
    <mergeCell ref="B186:W186"/>
    <mergeCell ref="B177:W177"/>
    <mergeCell ref="B178:W178"/>
    <mergeCell ref="B179:W179"/>
    <mergeCell ref="B180:W180"/>
    <mergeCell ref="B181:W181"/>
    <mergeCell ref="B182:W182"/>
    <mergeCell ref="B172:W172"/>
    <mergeCell ref="B166:W166"/>
    <mergeCell ref="B173:W173"/>
    <mergeCell ref="B174:W174"/>
    <mergeCell ref="B175:W175"/>
    <mergeCell ref="B176:W176"/>
    <mergeCell ref="B165:W165"/>
    <mergeCell ref="B167:W167"/>
    <mergeCell ref="B168:W168"/>
    <mergeCell ref="B169:W169"/>
    <mergeCell ref="B170:W170"/>
    <mergeCell ref="B171:W171"/>
    <mergeCell ref="B159:W159"/>
    <mergeCell ref="B160:W160"/>
    <mergeCell ref="B161:W161"/>
    <mergeCell ref="B162:W162"/>
    <mergeCell ref="B163:W163"/>
    <mergeCell ref="B164:W164"/>
    <mergeCell ref="B155:W155"/>
    <mergeCell ref="B156:W156"/>
    <mergeCell ref="B158:W158"/>
    <mergeCell ref="U130:V130"/>
    <mergeCell ref="A131:K131"/>
    <mergeCell ref="L131:O131"/>
    <mergeCell ref="P131:S131"/>
    <mergeCell ref="U131:V131"/>
    <mergeCell ref="E129:F129"/>
    <mergeCell ref="G129:K129"/>
    <mergeCell ref="L129:O129"/>
    <mergeCell ref="U129:V129"/>
    <mergeCell ref="A148:F148"/>
    <mergeCell ref="G148:K148"/>
    <mergeCell ref="L148:O148"/>
    <mergeCell ref="B153:W153"/>
    <mergeCell ref="B154:W154"/>
    <mergeCell ref="B157:W157"/>
    <mergeCell ref="B146:F146"/>
    <mergeCell ref="G146:K146"/>
    <mergeCell ref="L146:O146"/>
    <mergeCell ref="G152:K152"/>
    <mergeCell ref="L152:O152"/>
    <mergeCell ref="P152:T152"/>
    <mergeCell ref="B127:AA127"/>
    <mergeCell ref="G128:K128"/>
    <mergeCell ref="L128:O128"/>
    <mergeCell ref="U128:V128"/>
    <mergeCell ref="G130:K130"/>
    <mergeCell ref="G147:K147"/>
    <mergeCell ref="L147:O147"/>
    <mergeCell ref="P147:T147"/>
    <mergeCell ref="U147:V147"/>
    <mergeCell ref="A144:F144"/>
    <mergeCell ref="G144:K144"/>
    <mergeCell ref="L144:O144"/>
    <mergeCell ref="P144:T144"/>
    <mergeCell ref="U144:V144"/>
    <mergeCell ref="B142:F142"/>
    <mergeCell ref="G142:K142"/>
    <mergeCell ref="L142:O142"/>
    <mergeCell ref="P142:T142"/>
    <mergeCell ref="U142:V142"/>
    <mergeCell ref="B141:F141"/>
    <mergeCell ref="G141:K141"/>
    <mergeCell ref="L141:O141"/>
    <mergeCell ref="P141:T141"/>
    <mergeCell ref="U141:V141"/>
    <mergeCell ref="U152:V152"/>
    <mergeCell ref="B150:F150"/>
    <mergeCell ref="G150:K150"/>
    <mergeCell ref="L150:O150"/>
    <mergeCell ref="B143:F143"/>
    <mergeCell ref="G143:K143"/>
    <mergeCell ref="L143:O143"/>
    <mergeCell ref="P143:T143"/>
    <mergeCell ref="U143:V143"/>
    <mergeCell ref="P146:T146"/>
    <mergeCell ref="U146:V146"/>
    <mergeCell ref="B147:F147"/>
    <mergeCell ref="P148:T148"/>
    <mergeCell ref="U148:V148"/>
    <mergeCell ref="B151:F151"/>
    <mergeCell ref="G151:K151"/>
    <mergeCell ref="L151:O151"/>
    <mergeCell ref="P151:T151"/>
    <mergeCell ref="U151:V151"/>
    <mergeCell ref="A137:F137"/>
    <mergeCell ref="P137:T137"/>
    <mergeCell ref="B139:F139"/>
    <mergeCell ref="P139:T139"/>
    <mergeCell ref="B140:F140"/>
    <mergeCell ref="P140:T140"/>
    <mergeCell ref="G140:K140"/>
    <mergeCell ref="L140:O140"/>
    <mergeCell ref="U140:V140"/>
    <mergeCell ref="G139:K139"/>
    <mergeCell ref="L139:O139"/>
    <mergeCell ref="U139:V139"/>
    <mergeCell ref="G137:K137"/>
    <mergeCell ref="L137:O137"/>
    <mergeCell ref="U137:V137"/>
    <mergeCell ref="E128:F128"/>
    <mergeCell ref="G133:K133"/>
    <mergeCell ref="L133:O133"/>
    <mergeCell ref="U133:V133"/>
    <mergeCell ref="P133:T133"/>
    <mergeCell ref="P134:T134"/>
    <mergeCell ref="B133:F133"/>
    <mergeCell ref="B134:F134"/>
    <mergeCell ref="L130:O130"/>
    <mergeCell ref="C128:D128"/>
    <mergeCell ref="C129:D129"/>
    <mergeCell ref="C130:D130"/>
    <mergeCell ref="A126:K126"/>
    <mergeCell ref="L126:O126"/>
    <mergeCell ref="P126:S126"/>
    <mergeCell ref="U126:V126"/>
    <mergeCell ref="U62:V62"/>
    <mergeCell ref="A62:K62"/>
    <mergeCell ref="A104:K104"/>
    <mergeCell ref="L104:O104"/>
    <mergeCell ref="P104:S104"/>
    <mergeCell ref="U104:V104"/>
    <mergeCell ref="E124:F124"/>
    <mergeCell ref="G124:K124"/>
    <mergeCell ref="L124:O124"/>
    <mergeCell ref="U124:V124"/>
    <mergeCell ref="E125:F125"/>
    <mergeCell ref="G125:K125"/>
    <mergeCell ref="L125:O125"/>
    <mergeCell ref="U125:V125"/>
    <mergeCell ref="E122:F122"/>
    <mergeCell ref="G122:K122"/>
    <mergeCell ref="L122:O122"/>
    <mergeCell ref="U122:V122"/>
    <mergeCell ref="E123:F123"/>
    <mergeCell ref="G123:K123"/>
    <mergeCell ref="A118:N118"/>
    <mergeCell ref="P118:S118"/>
    <mergeCell ref="L62:O62"/>
    <mergeCell ref="B35:AA35"/>
    <mergeCell ref="B63:AA63"/>
    <mergeCell ref="B86:AA86"/>
    <mergeCell ref="B105:AA105"/>
    <mergeCell ref="U89:V89"/>
    <mergeCell ref="U90:V90"/>
    <mergeCell ref="U91:V91"/>
    <mergeCell ref="U92:V92"/>
    <mergeCell ref="U93:V93"/>
    <mergeCell ref="U94:V94"/>
    <mergeCell ref="L89:O89"/>
    <mergeCell ref="L90:O90"/>
    <mergeCell ref="L91:O91"/>
    <mergeCell ref="L92:O92"/>
    <mergeCell ref="L93:O93"/>
    <mergeCell ref="L94:O94"/>
    <mergeCell ref="G97:K97"/>
    <mergeCell ref="G98:K98"/>
    <mergeCell ref="G99:K99"/>
    <mergeCell ref="G100:K100"/>
    <mergeCell ref="E101:F101"/>
    <mergeCell ref="B136:F136"/>
    <mergeCell ref="P136:T136"/>
    <mergeCell ref="E130:F130"/>
    <mergeCell ref="G134:K134"/>
    <mergeCell ref="L134:O134"/>
    <mergeCell ref="U134:V134"/>
    <mergeCell ref="G135:K135"/>
    <mergeCell ref="L135:O135"/>
    <mergeCell ref="U135:V135"/>
    <mergeCell ref="B135:F135"/>
    <mergeCell ref="P135:T135"/>
    <mergeCell ref="G136:K136"/>
    <mergeCell ref="L136:O136"/>
    <mergeCell ref="U136:V136"/>
    <mergeCell ref="L123:O123"/>
    <mergeCell ref="U123:V123"/>
    <mergeCell ref="E120:F120"/>
    <mergeCell ref="G120:K120"/>
    <mergeCell ref="L120:O120"/>
    <mergeCell ref="U120:V120"/>
    <mergeCell ref="E121:F121"/>
    <mergeCell ref="G121:K121"/>
    <mergeCell ref="L121:O121"/>
    <mergeCell ref="U121:V121"/>
    <mergeCell ref="B119:AA119"/>
    <mergeCell ref="U101:V101"/>
    <mergeCell ref="U102:V102"/>
    <mergeCell ref="U103:V103"/>
    <mergeCell ref="U95:V95"/>
    <mergeCell ref="U96:V96"/>
    <mergeCell ref="U97:V97"/>
    <mergeCell ref="U98:V98"/>
    <mergeCell ref="U99:V99"/>
    <mergeCell ref="U100:V100"/>
    <mergeCell ref="L101:O101"/>
    <mergeCell ref="L102:O102"/>
    <mergeCell ref="L103:O103"/>
    <mergeCell ref="L95:O95"/>
    <mergeCell ref="L96:O96"/>
    <mergeCell ref="L97:O97"/>
    <mergeCell ref="L98:O98"/>
    <mergeCell ref="L99:O99"/>
    <mergeCell ref="L100:O100"/>
    <mergeCell ref="G101:K101"/>
    <mergeCell ref="G102:K102"/>
    <mergeCell ref="G103:K103"/>
    <mergeCell ref="G95:K95"/>
    <mergeCell ref="G96:K96"/>
    <mergeCell ref="E102:F102"/>
    <mergeCell ref="E103:F103"/>
    <mergeCell ref="G89:K89"/>
    <mergeCell ref="G90:K90"/>
    <mergeCell ref="G91:K91"/>
    <mergeCell ref="G92:K92"/>
    <mergeCell ref="G93:K93"/>
    <mergeCell ref="G94:K94"/>
    <mergeCell ref="E95:F95"/>
    <mergeCell ref="E96:F96"/>
    <mergeCell ref="E97:F97"/>
    <mergeCell ref="E98:F98"/>
    <mergeCell ref="E99:F99"/>
    <mergeCell ref="E100:F100"/>
    <mergeCell ref="E89:F89"/>
    <mergeCell ref="E90:F90"/>
    <mergeCell ref="E91:F91"/>
    <mergeCell ref="E92:F92"/>
    <mergeCell ref="E93:F93"/>
    <mergeCell ref="E94:F94"/>
    <mergeCell ref="P62:S62"/>
    <mergeCell ref="A85:N85"/>
    <mergeCell ref="P85:S85"/>
    <mergeCell ref="L61:O61"/>
    <mergeCell ref="L55:O55"/>
    <mergeCell ref="L56:O56"/>
    <mergeCell ref="L57:O57"/>
    <mergeCell ref="L58:O58"/>
    <mergeCell ref="L59:O59"/>
    <mergeCell ref="L60:O60"/>
    <mergeCell ref="G58:K58"/>
    <mergeCell ref="G59:K59"/>
    <mergeCell ref="G60:K60"/>
    <mergeCell ref="G61:K61"/>
    <mergeCell ref="G55:K55"/>
    <mergeCell ref="G56:K56"/>
    <mergeCell ref="G57:K57"/>
    <mergeCell ref="E61:F61"/>
    <mergeCell ref="E60:F60"/>
    <mergeCell ref="E55:F55"/>
    <mergeCell ref="E56:F56"/>
    <mergeCell ref="E57:F57"/>
    <mergeCell ref="E58:F58"/>
    <mergeCell ref="E59:F59"/>
    <mergeCell ref="E87:F87"/>
    <mergeCell ref="G87:K87"/>
    <mergeCell ref="L87:O87"/>
    <mergeCell ref="U87:V87"/>
    <mergeCell ref="E88:F88"/>
    <mergeCell ref="G88:K88"/>
    <mergeCell ref="L88:O88"/>
    <mergeCell ref="U88:V88"/>
    <mergeCell ref="U37:V37"/>
    <mergeCell ref="U38:V38"/>
    <mergeCell ref="U39:V39"/>
    <mergeCell ref="U40:V40"/>
    <mergeCell ref="U41:V41"/>
    <mergeCell ref="U42:V42"/>
    <mergeCell ref="U43:V43"/>
    <mergeCell ref="U44:V44"/>
    <mergeCell ref="U45:V45"/>
    <mergeCell ref="U58:V58"/>
    <mergeCell ref="U59:V59"/>
    <mergeCell ref="U60:V60"/>
    <mergeCell ref="U61:V61"/>
    <mergeCell ref="U52:V52"/>
    <mergeCell ref="U53:V53"/>
    <mergeCell ref="L53:O53"/>
    <mergeCell ref="L54:O54"/>
    <mergeCell ref="U49:V49"/>
    <mergeCell ref="U50:V50"/>
    <mergeCell ref="U51:V51"/>
    <mergeCell ref="U54:V54"/>
    <mergeCell ref="U55:V55"/>
    <mergeCell ref="U56:V56"/>
    <mergeCell ref="U57:V57"/>
    <mergeCell ref="L45:O45"/>
    <mergeCell ref="L46:O46"/>
    <mergeCell ref="L47:O47"/>
    <mergeCell ref="L48:O48"/>
    <mergeCell ref="U46:V46"/>
    <mergeCell ref="U47:V47"/>
    <mergeCell ref="U48:V48"/>
    <mergeCell ref="L49:O49"/>
    <mergeCell ref="L50:O50"/>
    <mergeCell ref="G50:K50"/>
    <mergeCell ref="G51:K51"/>
    <mergeCell ref="L51:O51"/>
    <mergeCell ref="L52:O52"/>
    <mergeCell ref="L43:O43"/>
    <mergeCell ref="L44:O44"/>
    <mergeCell ref="G43:K43"/>
    <mergeCell ref="G44:K44"/>
    <mergeCell ref="G45:K45"/>
    <mergeCell ref="G52:K52"/>
    <mergeCell ref="G53:K53"/>
    <mergeCell ref="G54:K54"/>
    <mergeCell ref="G46:K46"/>
    <mergeCell ref="E37:F37"/>
    <mergeCell ref="E38:F38"/>
    <mergeCell ref="E39:F39"/>
    <mergeCell ref="E40:F40"/>
    <mergeCell ref="E41:F41"/>
    <mergeCell ref="E42:F42"/>
    <mergeCell ref="E49:F49"/>
    <mergeCell ref="E50:F50"/>
    <mergeCell ref="E51:F51"/>
    <mergeCell ref="E52:F52"/>
    <mergeCell ref="E53:F53"/>
    <mergeCell ref="E54:F54"/>
    <mergeCell ref="E43:F43"/>
    <mergeCell ref="E44:F44"/>
    <mergeCell ref="E45:F45"/>
    <mergeCell ref="E46:F46"/>
    <mergeCell ref="E47:F47"/>
    <mergeCell ref="E48:F48"/>
    <mergeCell ref="G47:K47"/>
    <mergeCell ref="G48:K48"/>
    <mergeCell ref="G49:K49"/>
    <mergeCell ref="G42:K42"/>
    <mergeCell ref="L38:O38"/>
    <mergeCell ref="L37:O37"/>
    <mergeCell ref="L39:O39"/>
    <mergeCell ref="L40:O40"/>
    <mergeCell ref="L41:O41"/>
    <mergeCell ref="L42:O42"/>
    <mergeCell ref="G37:K37"/>
    <mergeCell ref="G38:K38"/>
    <mergeCell ref="G39:K39"/>
    <mergeCell ref="G40:K40"/>
    <mergeCell ref="G41:K41"/>
    <mergeCell ref="U36:V36"/>
    <mergeCell ref="AA2:AA4"/>
    <mergeCell ref="B5:W5"/>
    <mergeCell ref="B6:W6"/>
    <mergeCell ref="A1:AA1"/>
    <mergeCell ref="B7:W7"/>
    <mergeCell ref="B8:AA8"/>
    <mergeCell ref="X2:Z2"/>
    <mergeCell ref="B2:W4"/>
    <mergeCell ref="A2:A4"/>
    <mergeCell ref="X3:Y3"/>
    <mergeCell ref="P34:S34"/>
    <mergeCell ref="A34:N34"/>
    <mergeCell ref="E36:F36"/>
    <mergeCell ref="G36:K36"/>
    <mergeCell ref="L36:O36"/>
  </mergeCells>
  <pageMargins left="0.70866141732283472" right="0.70866141732283472" top="0.74803149606299213" bottom="0.74803149606299213" header="0.31496062992125984" footer="0.31496062992125984"/>
  <pageSetup paperSize="9" scale="18" orientation="portrait" r:id="rId1"/>
  <ignoredErrors>
    <ignoredError sqref="T11 Z118" formula="1"/>
    <ignoredError sqref="K10:K11 K12:K33 K65:K84 K107:K112 K116 K113:K115 X154 X158 G148:O148 G152:O152" formulaRange="1"/>
    <ignoredError sqref="P144:V147 P149:V151 U148:V148 U152:V152" unlockedFormula="1"/>
    <ignoredError sqref="P148:T148 P152:T152"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986E5-3143-4D9E-BC8B-7F785BBCF96B}">
  <dimension ref="A1"/>
  <sheetViews>
    <sheetView view="pageBreakPreview" zoomScale="94" zoomScaleNormal="100" zoomScaleSheetLayoutView="94" workbookViewId="0">
      <selection sqref="A1:A1048576"/>
    </sheetView>
  </sheetViews>
  <sheetFormatPr defaultRowHeight="14.5" x14ac:dyDescent="0.35"/>
  <sheetData/>
  <sheetProtection algorithmName="SHA-512" hashValue="mQ1pGIX5ynlJdlAPpp/jZXjHv5nEzVoY/eL0SrfgVl8ADqPRrvnMC3P3MTpuduTeo3CPzXTs13sCISM1NmS8EQ==" saltValue="oqufD/Lar9HWs40rd1OSjA==" spinCount="100000" sheet="1" objects="1" scenarios="1" selectLockedCells="1" selectUnlockedCells="1"/>
  <pageMargins left="0.7" right="0.7" top="0.75" bottom="0.75" header="0.3" footer="0.3"/>
  <pageSetup paperSize="9" scale="39" orientation="portrait"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Financijski plan HGS-a 2024.</vt:lpstr>
      <vt:lpstr>Plan prihoda i rashoda</vt:lpstr>
      <vt:lpstr>Programske skupine i programi</vt:lpstr>
      <vt:lpstr>Obrazloženje financijskog plana</vt:lpstr>
      <vt:lpstr>'Financijski plan HGS-a 2024.'!Podrucje_ispisa</vt:lpstr>
      <vt:lpstr>'Obrazloženje financijskog plana'!Podrucje_ispisa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Leovac</dc:creator>
  <cp:lastModifiedBy>Kristina Leovac</cp:lastModifiedBy>
  <cp:lastPrinted>2023-12-09T11:02:10Z</cp:lastPrinted>
  <dcterms:created xsi:type="dcterms:W3CDTF">2023-12-01T14:28:39Z</dcterms:created>
  <dcterms:modified xsi:type="dcterms:W3CDTF">2023-12-23T09:01:38Z</dcterms:modified>
</cp:coreProperties>
</file>